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9354 EdData II\Task 20 - Goal 1\Activity 6 Calculator\EGRA Calculator\"/>
    </mc:Choice>
  </mc:AlternateContent>
  <bookViews>
    <workbookView xWindow="360" yWindow="420" windowWidth="14355" windowHeight="7380"/>
  </bookViews>
  <sheets>
    <sheet name="Instructions and Inputs" sheetId="6" r:id="rId1"/>
    <sheet name="Verify Sample &amp; Unit Costs" sheetId="1" r:id="rId2"/>
    <sheet name="ODC Costs and Breakdown" sheetId="3" r:id="rId3"/>
    <sheet name="Numbers sheet" sheetId="8" state="hidden" r:id="rId4"/>
    <sheet name="Sheet4" sheetId="4" state="hidden" r:id="rId5"/>
  </sheets>
  <calcPr calcId="152511"/>
</workbook>
</file>

<file path=xl/calcChain.xml><?xml version="1.0" encoding="utf-8"?>
<calcChain xmlns="http://schemas.openxmlformats.org/spreadsheetml/2006/main">
  <c r="F3" i="3" l="1"/>
  <c r="K16" i="3" l="1"/>
  <c r="N16" i="3" s="1"/>
  <c r="L16" i="3"/>
  <c r="K17" i="3"/>
  <c r="N17" i="3" s="1"/>
  <c r="L17" i="3"/>
  <c r="K18" i="3"/>
  <c r="N18" i="3" s="1"/>
  <c r="L18" i="3"/>
  <c r="K19" i="3"/>
  <c r="N19" i="3" s="1"/>
  <c r="L19" i="3"/>
  <c r="K20" i="3"/>
  <c r="N20" i="3" s="1"/>
  <c r="L20" i="3"/>
  <c r="K21" i="3"/>
  <c r="N21" i="3" s="1"/>
  <c r="L21" i="3"/>
  <c r="K22" i="3"/>
  <c r="L22" i="3"/>
  <c r="K23" i="3"/>
  <c r="L23" i="3"/>
  <c r="K24" i="3"/>
  <c r="L24" i="3"/>
  <c r="N24" i="3" s="1"/>
  <c r="K25" i="3"/>
  <c r="L25" i="3"/>
  <c r="N25" i="3"/>
  <c r="K26" i="3"/>
  <c r="L26" i="3"/>
  <c r="K27" i="3"/>
  <c r="L27" i="3"/>
  <c r="K28" i="3"/>
  <c r="N28" i="3"/>
  <c r="K31" i="3"/>
  <c r="L31" i="3"/>
  <c r="N31" i="3" s="1"/>
  <c r="K32" i="3"/>
  <c r="N32" i="3" s="1"/>
  <c r="L32" i="3"/>
  <c r="K33" i="3"/>
  <c r="N33" i="3" s="1"/>
  <c r="L33" i="3"/>
  <c r="K34" i="3"/>
  <c r="L34" i="3"/>
  <c r="N34" i="3"/>
  <c r="K35" i="3"/>
  <c r="L35" i="3"/>
  <c r="N35" i="3" s="1"/>
  <c r="K38" i="3"/>
  <c r="N38" i="3" s="1"/>
  <c r="K40" i="3"/>
  <c r="K41" i="3"/>
  <c r="K42" i="3"/>
  <c r="K43" i="3"/>
  <c r="K44" i="3"/>
  <c r="K45" i="3"/>
  <c r="K46" i="3"/>
  <c r="N46" i="3"/>
  <c r="K47" i="3"/>
  <c r="N47" i="3"/>
  <c r="K48" i="3"/>
  <c r="N48" i="3"/>
  <c r="K49" i="3"/>
  <c r="N49" i="3"/>
  <c r="K50" i="3"/>
  <c r="L50" i="3"/>
  <c r="K52" i="3"/>
  <c r="K53" i="3"/>
  <c r="K54" i="3"/>
  <c r="K55" i="3"/>
  <c r="K56" i="3"/>
  <c r="K57" i="3"/>
  <c r="K58" i="3"/>
  <c r="K59" i="3"/>
  <c r="K60" i="3"/>
  <c r="K61" i="3"/>
  <c r="K62" i="3"/>
  <c r="K63" i="3"/>
  <c r="L63" i="3"/>
  <c r="K64" i="3"/>
  <c r="K67" i="3"/>
  <c r="K68" i="3"/>
  <c r="K69" i="3"/>
  <c r="K70" i="3"/>
  <c r="K71" i="3"/>
  <c r="K72" i="3"/>
  <c r="K73" i="3"/>
  <c r="K74" i="3"/>
  <c r="N74" i="3" s="1"/>
  <c r="K75" i="3"/>
  <c r="K76" i="3"/>
  <c r="K77" i="3"/>
  <c r="K78" i="3"/>
  <c r="K79" i="3"/>
  <c r="K80" i="3"/>
  <c r="K83" i="3"/>
  <c r="K84" i="3"/>
  <c r="K85" i="3"/>
  <c r="K86" i="3"/>
  <c r="K87" i="3"/>
  <c r="K88" i="3"/>
  <c r="N88" i="3"/>
  <c r="K89" i="3"/>
  <c r="K90" i="3"/>
  <c r="K91" i="3"/>
  <c r="N91" i="3"/>
  <c r="N50" i="3" l="1"/>
  <c r="N27" i="3"/>
  <c r="N63" i="3"/>
  <c r="N26" i="3"/>
  <c r="N29" i="3" s="1"/>
  <c r="N23" i="3"/>
  <c r="N36" i="3"/>
  <c r="D6" i="6"/>
  <c r="G9" i="6" s="1"/>
  <c r="D19" i="6" l="1"/>
  <c r="G2" i="6" l="1"/>
  <c r="G7" i="6" s="1"/>
  <c r="H2" i="6"/>
  <c r="G10" i="6" l="1"/>
  <c r="G8" i="6" s="1"/>
  <c r="G5" i="6" s="1"/>
  <c r="G6" i="6" s="1"/>
  <c r="H9" i="6" l="1"/>
  <c r="B23" i="1" s="1"/>
  <c r="H5" i="6"/>
  <c r="C26" i="3"/>
  <c r="B19" i="1"/>
  <c r="L79" i="3" s="1"/>
  <c r="H3" i="6" l="1"/>
  <c r="B18" i="1" l="1"/>
  <c r="B17" i="1"/>
  <c r="H7" i="6"/>
  <c r="B20" i="1"/>
  <c r="L80" i="3" s="1"/>
  <c r="B12" i="1"/>
  <c r="B11" i="1"/>
  <c r="B10" i="1"/>
  <c r="H4" i="6" l="1"/>
  <c r="H10" i="6"/>
  <c r="B16" i="1" s="1"/>
  <c r="M90" i="3" l="1"/>
  <c r="N90" i="3" s="1"/>
  <c r="M89" i="3"/>
  <c r="N89" i="3" s="1"/>
  <c r="M84" i="3"/>
  <c r="N84" i="3" s="1"/>
  <c r="H6" i="6"/>
  <c r="B22" i="1"/>
  <c r="B13" i="1"/>
  <c r="H8" i="6" l="1"/>
  <c r="B14" i="1" s="1"/>
  <c r="L40" i="3"/>
  <c r="N40" i="3" s="1"/>
  <c r="L53" i="3"/>
  <c r="N53" i="3" s="1"/>
  <c r="L61" i="3"/>
  <c r="N61" i="3" s="1"/>
  <c r="L39" i="3"/>
  <c r="N39" i="3" s="1"/>
  <c r="L42" i="3"/>
  <c r="N42" i="3" s="1"/>
  <c r="L45" i="3"/>
  <c r="N45" i="3" s="1"/>
  <c r="L52" i="3"/>
  <c r="N52" i="3" s="1"/>
  <c r="L55" i="3"/>
  <c r="N55" i="3" s="1"/>
  <c r="L58" i="3"/>
  <c r="N58" i="3" s="1"/>
  <c r="L60" i="3"/>
  <c r="N60" i="3" s="1"/>
  <c r="L44" i="3"/>
  <c r="N44" i="3" s="1"/>
  <c r="L57" i="3"/>
  <c r="N57" i="3" s="1"/>
  <c r="L41" i="3"/>
  <c r="N41" i="3" s="1"/>
  <c r="L43" i="3"/>
  <c r="N43" i="3" s="1"/>
  <c r="L54" i="3"/>
  <c r="N54" i="3" s="1"/>
  <c r="L56" i="3"/>
  <c r="N56" i="3" s="1"/>
  <c r="L59" i="3"/>
  <c r="N59" i="3" s="1"/>
  <c r="L62" i="3"/>
  <c r="N62" i="3" s="1"/>
  <c r="L64" i="3"/>
  <c r="N64" i="3" s="1"/>
  <c r="M73" i="3"/>
  <c r="N73" i="3" s="1"/>
  <c r="M77" i="3"/>
  <c r="N77" i="3" s="1"/>
  <c r="M81" i="3"/>
  <c r="N81" i="3" s="1"/>
  <c r="M76" i="3"/>
  <c r="N76" i="3" s="1"/>
  <c r="M79" i="3"/>
  <c r="N79" i="3" s="1"/>
  <c r="M80" i="3"/>
  <c r="N80" i="3" s="1"/>
  <c r="B15" i="1"/>
  <c r="L78" i="3"/>
  <c r="M78" i="3" s="1"/>
  <c r="N78" i="3" s="1"/>
  <c r="N65" i="3" l="1"/>
  <c r="C49" i="3"/>
  <c r="C42" i="3"/>
  <c r="B49" i="3"/>
  <c r="B42" i="3"/>
  <c r="C51" i="3"/>
  <c r="B41" i="3"/>
  <c r="B67" i="3"/>
  <c r="F67" i="3" s="1"/>
  <c r="B64" i="3"/>
  <c r="F64" i="3" s="1"/>
  <c r="C21" i="3"/>
  <c r="B21" i="3"/>
  <c r="B20" i="3"/>
  <c r="B19" i="3"/>
  <c r="B18" i="3"/>
  <c r="B40" i="3"/>
  <c r="B26" i="3"/>
  <c r="B25" i="3"/>
  <c r="F25" i="3" s="1"/>
  <c r="B39" i="3"/>
  <c r="F39" i="3" s="1"/>
  <c r="C55" i="3"/>
  <c r="B55" i="3"/>
  <c r="C56" i="3"/>
  <c r="B56" i="3"/>
  <c r="C57" i="3"/>
  <c r="B57" i="3"/>
  <c r="B63" i="3"/>
  <c r="F63" i="3" s="1"/>
  <c r="B59" i="3"/>
  <c r="B51" i="3"/>
  <c r="F21" i="3" l="1"/>
  <c r="F26" i="3"/>
  <c r="F27" i="3"/>
  <c r="D7" i="4"/>
  <c r="D1" i="4"/>
  <c r="D5" i="4"/>
  <c r="B8" i="1"/>
  <c r="F31" i="3"/>
  <c r="F65" i="3"/>
  <c r="F28" i="3"/>
  <c r="F37" i="3"/>
  <c r="B5" i="1"/>
  <c r="D6" i="4"/>
  <c r="B21" i="1"/>
  <c r="F29" i="3"/>
  <c r="C59" i="3" l="1"/>
  <c r="L69" i="3"/>
  <c r="L75" i="3"/>
  <c r="L68" i="3"/>
  <c r="L72" i="3"/>
  <c r="M86" i="3"/>
  <c r="N86" i="3" s="1"/>
  <c r="M87" i="3"/>
  <c r="N87" i="3" s="1"/>
  <c r="L67" i="3"/>
  <c r="L71" i="3"/>
  <c r="L70" i="3"/>
  <c r="M85" i="3"/>
  <c r="N85" i="3" s="1"/>
  <c r="M83" i="3"/>
  <c r="N83" i="3" s="1"/>
  <c r="F50" i="3"/>
  <c r="F43" i="3"/>
  <c r="C19" i="3"/>
  <c r="F19" i="3" s="1"/>
  <c r="C41" i="3"/>
  <c r="F41" i="3" s="1"/>
  <c r="C40" i="3"/>
  <c r="F40" i="3" s="1"/>
  <c r="C20" i="3"/>
  <c r="F20" i="3" s="1"/>
  <c r="C18" i="3"/>
  <c r="F18" i="3" s="1"/>
  <c r="D42" i="3"/>
  <c r="F42" i="3" s="1"/>
  <c r="D49" i="3"/>
  <c r="F49" i="3" s="1"/>
  <c r="D51" i="3"/>
  <c r="F51" i="3" s="1"/>
  <c r="D8" i="4"/>
  <c r="F48" i="3"/>
  <c r="F44" i="3"/>
  <c r="F69" i="3"/>
  <c r="M70" i="3" l="1"/>
  <c r="N70" i="3" s="1"/>
  <c r="M69" i="3"/>
  <c r="N69" i="3" s="1"/>
  <c r="M67" i="3"/>
  <c r="N67" i="3" s="1"/>
  <c r="M68" i="3"/>
  <c r="N68" i="3" s="1"/>
  <c r="M75" i="3"/>
  <c r="N75" i="3" s="1"/>
  <c r="M71" i="3"/>
  <c r="N71" i="3" s="1"/>
  <c r="M72" i="3"/>
  <c r="N72" i="3" s="1"/>
  <c r="F53" i="3"/>
  <c r="F23" i="3"/>
  <c r="F46" i="3"/>
  <c r="N92" i="3" l="1"/>
  <c r="F58" i="3" s="1"/>
  <c r="D59" i="3" l="1"/>
  <c r="F59" i="3" s="1"/>
  <c r="D57" i="3"/>
  <c r="D56" i="3"/>
  <c r="F56" i="3" s="1"/>
  <c r="D55" i="3"/>
  <c r="F55" i="3" s="1"/>
  <c r="F57" i="3" l="1"/>
  <c r="E57" i="3" s="1"/>
  <c r="F61" i="3" l="1"/>
  <c r="F30" i="3"/>
  <c r="F33" i="3" l="1"/>
  <c r="F70" i="3" s="1"/>
  <c r="H11" i="6" l="1"/>
  <c r="E65" i="3"/>
  <c r="E41" i="3"/>
  <c r="E58" i="3"/>
  <c r="E28" i="3"/>
  <c r="E59" i="3"/>
  <c r="E51" i="3"/>
  <c r="E35" i="3"/>
  <c r="E37" i="3" s="1"/>
  <c r="E29" i="3"/>
  <c r="E40" i="3"/>
  <c r="E56" i="3"/>
  <c r="E26" i="3"/>
  <c r="E30" i="3"/>
  <c r="E31" i="3"/>
  <c r="E21" i="3"/>
  <c r="E63" i="3"/>
  <c r="E25" i="3" l="1"/>
  <c r="E18" i="3"/>
  <c r="E52" i="3"/>
  <c r="E45" i="3"/>
  <c r="E50" i="3"/>
  <c r="E19" i="3"/>
  <c r="E20" i="3"/>
  <c r="E43" i="3"/>
  <c r="E64" i="3"/>
  <c r="E55" i="3"/>
  <c r="E61" i="3" s="1"/>
  <c r="E48" i="3"/>
  <c r="E39" i="3"/>
  <c r="E42" i="3"/>
  <c r="E49" i="3"/>
  <c r="E44" i="3"/>
  <c r="E66" i="3"/>
  <c r="E27" i="3"/>
  <c r="E67" i="3"/>
  <c r="E69" i="3" l="1"/>
  <c r="E53" i="3"/>
  <c r="E23" i="3"/>
  <c r="E33" i="3"/>
  <c r="E46" i="3"/>
  <c r="E70" i="3" l="1"/>
  <c r="H13" i="6" s="1"/>
</calcChain>
</file>

<file path=xl/sharedStrings.xml><?xml version="1.0" encoding="utf-8"?>
<sst xmlns="http://schemas.openxmlformats.org/spreadsheetml/2006/main" count="402" uniqueCount="290">
  <si>
    <t>Comments</t>
  </si>
  <si>
    <t>Total Number of Pupils</t>
  </si>
  <si>
    <t>Number of languages per pupil</t>
  </si>
  <si>
    <t>Number of schools</t>
  </si>
  <si>
    <t>Number of pupils per grade</t>
  </si>
  <si>
    <t>Number of pupils per school</t>
  </si>
  <si>
    <t>Number of assessors per team</t>
  </si>
  <si>
    <t>Number of supervisors per team</t>
  </si>
  <si>
    <t xml:space="preserve">Number of data collectors per team </t>
  </si>
  <si>
    <t xml:space="preserve">Number of teams  </t>
  </si>
  <si>
    <t>Number of PUPILS per assessor per school</t>
  </si>
  <si>
    <t>Includes 2 extra days as needed for travel, repeat site visit, etc.</t>
  </si>
  <si>
    <t>PILOT</t>
  </si>
  <si>
    <t>Total number of pupils</t>
  </si>
  <si>
    <t>Total number of schools</t>
  </si>
  <si>
    <t>Total number of pupils per school</t>
  </si>
  <si>
    <t>Total assessors per team</t>
  </si>
  <si>
    <t>Total number of teams</t>
  </si>
  <si>
    <t>Number of days for data collection</t>
  </si>
  <si>
    <r>
      <t>Number of EGRA</t>
    </r>
    <r>
      <rPr>
        <i/>
        <sz val="8"/>
        <rFont val="Calibri"/>
        <family val="2"/>
        <scheme val="minor"/>
      </rPr>
      <t xml:space="preserve"> tests </t>
    </r>
  </si>
  <si>
    <t>Item</t>
  </si>
  <si>
    <t>Unit costs</t>
  </si>
  <si>
    <t>Venue</t>
  </si>
  <si>
    <t>Lunch/tea break during workshop trainings</t>
  </si>
  <si>
    <t>Per participant per day</t>
  </si>
  <si>
    <t>Data collector per diem/payment</t>
  </si>
  <si>
    <t>Daily rate</t>
  </si>
  <si>
    <t>Data supervisor per diem/payment</t>
  </si>
  <si>
    <t>Transport to schools during pilot</t>
  </si>
  <si>
    <t>Transport to schools during data collection</t>
  </si>
  <si>
    <t>In towns during data collection</t>
  </si>
  <si>
    <t>Supplies</t>
  </si>
  <si>
    <t>Photocopies</t>
  </si>
  <si>
    <t>per page</t>
  </si>
  <si>
    <t>Flipchart paper</t>
  </si>
  <si>
    <t>Stopwatch</t>
  </si>
  <si>
    <t>Clipboard</t>
  </si>
  <si>
    <t>Notepad</t>
  </si>
  <si>
    <t>Pen</t>
  </si>
  <si>
    <t>Folder</t>
  </si>
  <si>
    <t>Stapler</t>
  </si>
  <si>
    <t>Box of staples</t>
  </si>
  <si>
    <t xml:space="preserve">Plastic bags for supplies </t>
  </si>
  <si>
    <t xml:space="preserve">Markers </t>
  </si>
  <si>
    <t>Power cords/strips</t>
  </si>
  <si>
    <t>Pupil gifts (pencil, notebook)</t>
  </si>
  <si>
    <t>Mobile phone airtime for assessors</t>
  </si>
  <si>
    <t>Per week during data collection</t>
  </si>
  <si>
    <t>Mobile phone airtime for supervisors</t>
  </si>
  <si>
    <t>Number of assessors based on number and length of EGRA tests administered, and number of children needed to assess at each school</t>
  </si>
  <si>
    <t>FULL DATA COLLECTION</t>
  </si>
  <si>
    <t>Total Number of Days for Data Collection</t>
  </si>
  <si>
    <t>Adaptation Workshop</t>
  </si>
  <si>
    <t>Unit cost</t>
  </si>
  <si>
    <t>Quantity</t>
  </si>
  <si>
    <t>Number of pages (if applicable)</t>
  </si>
  <si>
    <t>Total cost</t>
  </si>
  <si>
    <t>Remarks</t>
  </si>
  <si>
    <t>Workshop agenda</t>
  </si>
  <si>
    <t>1 per participant</t>
  </si>
  <si>
    <t>Handouts</t>
  </si>
  <si>
    <t>EGRA marking sheet + pupil questionnaire</t>
  </si>
  <si>
    <t>2 per participant</t>
  </si>
  <si>
    <t>EGRA Pupil stimuli sheet</t>
  </si>
  <si>
    <t>Stopwatches</t>
  </si>
  <si>
    <t>Clipboards</t>
  </si>
  <si>
    <t>Pens</t>
  </si>
  <si>
    <t>Pencils</t>
  </si>
  <si>
    <t>Erasers</t>
  </si>
  <si>
    <t>Pencil sharpeners</t>
  </si>
  <si>
    <t>Folders</t>
  </si>
  <si>
    <t>Pilot</t>
  </si>
  <si>
    <t xml:space="preserve">Quantity </t>
  </si>
  <si>
    <t xml:space="preserve">Number of pages  </t>
  </si>
  <si>
    <t>EGRA protocol + pupil questionnaire</t>
  </si>
  <si>
    <t>Back-up paper copies</t>
  </si>
  <si>
    <t>EGRA pupil stimuli sheet</t>
  </si>
  <si>
    <t>1 per assessor plus extras</t>
  </si>
  <si>
    <t>Pupil sampling sheets</t>
  </si>
  <si>
    <t>School fieldwork summary sheet</t>
  </si>
  <si>
    <t>1 per school</t>
  </si>
  <si>
    <t>1 per pupil</t>
  </si>
  <si>
    <t>Pupil gift</t>
  </si>
  <si>
    <t>Letters of authorization to schools</t>
  </si>
  <si>
    <t>EGRA OTHER DIRECT COSTS - BUDGET TEMPLATE</t>
  </si>
  <si>
    <t>Exchange Rate:</t>
  </si>
  <si>
    <t>Enter exchange rate for local currency conversion to USD</t>
  </si>
  <si>
    <t xml:space="preserve">Tasks </t>
  </si>
  <si>
    <t xml:space="preserve">3. Recruit Data Collectors and Supervisors </t>
  </si>
  <si>
    <t>Tasks</t>
  </si>
  <si>
    <t>Units (number of people or items)</t>
  </si>
  <si>
    <t>Number of days (if applicable)</t>
  </si>
  <si>
    <t>Total Cost Local Currency</t>
  </si>
  <si>
    <t xml:space="preserve">Total Cost USD </t>
  </si>
  <si>
    <t>Budget Notes</t>
  </si>
  <si>
    <t>Other (Specify)</t>
  </si>
  <si>
    <t>Subtotal 1</t>
  </si>
  <si>
    <t>Workshop venue</t>
  </si>
  <si>
    <t>Food (meals/tea breaks)</t>
  </si>
  <si>
    <t>Participant transportation</t>
  </si>
  <si>
    <t>School visit transport</t>
  </si>
  <si>
    <t>Subtotal 2</t>
  </si>
  <si>
    <t>Advertisement</t>
  </si>
  <si>
    <t>Subtotal 3</t>
  </si>
  <si>
    <t>Subtotal 4</t>
  </si>
  <si>
    <t>Data collector per diem</t>
  </si>
  <si>
    <t>Transport to schools</t>
  </si>
  <si>
    <t>Subtotal 5</t>
  </si>
  <si>
    <t>Assessor per diem</t>
  </si>
  <si>
    <t>Supervisor per diem</t>
  </si>
  <si>
    <t>Transport</t>
  </si>
  <si>
    <t>Subtotal 6</t>
  </si>
  <si>
    <t>Subtotal 7</t>
  </si>
  <si>
    <t>Quantity per team</t>
  </si>
  <si>
    <t>Quantity all teams</t>
  </si>
  <si>
    <t xml:space="preserve">Total cost </t>
  </si>
  <si>
    <t>Notepads</t>
  </si>
  <si>
    <t xml:space="preserve">Sharpeners </t>
  </si>
  <si>
    <t>Air time - wireless modems</t>
  </si>
  <si>
    <t xml:space="preserve">Unit cost </t>
  </si>
  <si>
    <t>Number of pages</t>
  </si>
  <si>
    <t>Number of units to print</t>
  </si>
  <si>
    <t>Itinerary for school visits</t>
  </si>
  <si>
    <t xml:space="preserve">1 per team </t>
  </si>
  <si>
    <t>EGRA information brief</t>
  </si>
  <si>
    <t xml:space="preserve">List of codes </t>
  </si>
  <si>
    <t>EGRA assessor protocol + pupil questionnaire</t>
  </si>
  <si>
    <t>Back-ups if needed - replenish if needed</t>
  </si>
  <si>
    <t xml:space="preserve">Laminated EGRA pupil stimuli </t>
  </si>
  <si>
    <t>1 per assessor</t>
  </si>
  <si>
    <t>Data collection tablet user agreement</t>
  </si>
  <si>
    <t>1 per person</t>
  </si>
  <si>
    <t>School Fieldwork visit summary</t>
  </si>
  <si>
    <t>Extra copies of docs</t>
  </si>
  <si>
    <t xml:space="preserve"> </t>
  </si>
  <si>
    <t xml:space="preserve">Notepads </t>
  </si>
  <si>
    <t>Plastic bags for supplies</t>
  </si>
  <si>
    <t>Power strip</t>
  </si>
  <si>
    <t xml:space="preserve">Pupil gifts </t>
  </si>
  <si>
    <t>For school visits</t>
  </si>
  <si>
    <t xml:space="preserve">Number of pages </t>
  </si>
  <si>
    <t>Participant training/tablet user agreement</t>
  </si>
  <si>
    <t>EGRA brief</t>
  </si>
  <si>
    <t>EGRA reference sheet</t>
  </si>
  <si>
    <t>Tangerine reference sheet</t>
  </si>
  <si>
    <t>Assessor observation checklist</t>
  </si>
  <si>
    <t>EGRA assessor protocol</t>
  </si>
  <si>
    <t>Questionnaire(s)</t>
  </si>
  <si>
    <t xml:space="preserve">Supervisor manual </t>
  </si>
  <si>
    <t>Extra copies of participant docs</t>
  </si>
  <si>
    <t xml:space="preserve">Supplies and photocopies </t>
  </si>
  <si>
    <t>Supplies and photocopies</t>
  </si>
  <si>
    <t>For fuel and driver for a bus per day (10 people)</t>
  </si>
  <si>
    <t>Total Data Collection Supplies</t>
  </si>
  <si>
    <t>Languages</t>
  </si>
  <si>
    <t>Total Sample</t>
  </si>
  <si>
    <t># of Schools</t>
  </si>
  <si>
    <t>Pupils Per Grade</t>
  </si>
  <si>
    <t># of Assessors per Team</t>
  </si>
  <si>
    <t># of Supervisors per Team</t>
  </si>
  <si>
    <t>Data Collectors per Team</t>
  </si>
  <si>
    <t># of Teams</t>
  </si>
  <si>
    <t>Number of Pupils per Assessor Per School</t>
  </si>
  <si>
    <t>Number of Days for Data Collection</t>
  </si>
  <si>
    <t>Assumes 30 USD (15 each way)</t>
  </si>
  <si>
    <t>Tablets</t>
  </si>
  <si>
    <t>Tablet</t>
  </si>
  <si>
    <t>Tablet Case</t>
  </si>
  <si>
    <t>Tablet Accessories</t>
  </si>
  <si>
    <t>Tablet Cases</t>
  </si>
  <si>
    <t>Lodging</t>
  </si>
  <si>
    <t xml:space="preserve">Lodging </t>
  </si>
  <si>
    <t xml:space="preserve">1. General Project Planning </t>
  </si>
  <si>
    <t>4.Participate in Data Collector Training</t>
  </si>
  <si>
    <t>2.  EGRA Instrument Adaptation Workshop</t>
  </si>
  <si>
    <t>5. Pilot Data Collection</t>
  </si>
  <si>
    <t>6. Data Collection/e Data Capture</t>
  </si>
  <si>
    <t>7. Results Dissemination Workshop</t>
  </si>
  <si>
    <t>1. General Project Planning</t>
  </si>
  <si>
    <t>2. EGRA Instrument Adaptation Workshop</t>
  </si>
  <si>
    <t>4. Data Collector Training</t>
  </si>
  <si>
    <t>6. Data Collection/ Data Capture</t>
  </si>
  <si>
    <t>Urban/Rural</t>
  </si>
  <si>
    <t>Grades</t>
  </si>
  <si>
    <t>Class Sample</t>
  </si>
  <si>
    <t>Participant per diem</t>
  </si>
  <si>
    <t>Mobile Hotspot</t>
  </si>
  <si>
    <t>Mobil Hotspot</t>
  </si>
  <si>
    <t>SUBTOTAL of EXPENSES</t>
  </si>
  <si>
    <t xml:space="preserve">Assessor Transportation to Training </t>
  </si>
  <si>
    <t xml:space="preserve">15 each way </t>
  </si>
  <si>
    <t>Number of Teams:</t>
  </si>
  <si>
    <t>Number of Supervisors / Team:</t>
  </si>
  <si>
    <t>Number of Assessors / Team:</t>
  </si>
  <si>
    <t>Number of Schools:</t>
  </si>
  <si>
    <t>Phonemic Awareness</t>
  </si>
  <si>
    <t>Dictation</t>
  </si>
  <si>
    <t>Familiar Word Reading</t>
  </si>
  <si>
    <t>Number of Schools</t>
  </si>
  <si>
    <t>Select EGRA Subtasks:</t>
  </si>
  <si>
    <t>Number of Pupils / Assessor /  School</t>
  </si>
  <si>
    <t>Number of Languages:</t>
  </si>
  <si>
    <t>Data Collectors / Team</t>
  </si>
  <si>
    <t>Pupils Per Grade / School</t>
  </si>
  <si>
    <t>Number of Grades:</t>
  </si>
  <si>
    <t>Suggested</t>
  </si>
  <si>
    <t>Parameters</t>
  </si>
  <si>
    <t>Number of Teams</t>
  </si>
  <si>
    <t>Urban vs rural</t>
  </si>
  <si>
    <t>Cell Sample</t>
  </si>
  <si>
    <t>Instructions</t>
  </si>
  <si>
    <t xml:space="preserve">Notes: </t>
  </si>
  <si>
    <t xml:space="preserve">1. Only enter text into cells highlighted in yellow. </t>
  </si>
  <si>
    <t>2. Grey cells  are drop downs</t>
  </si>
  <si>
    <t>Step 2</t>
  </si>
  <si>
    <t>Step 3</t>
  </si>
  <si>
    <t>Language</t>
  </si>
  <si>
    <t>Subs</t>
  </si>
  <si>
    <t>6 - 8</t>
  </si>
  <si>
    <t>9 - 10</t>
  </si>
  <si>
    <t>Step 6</t>
  </si>
  <si>
    <t>Cell Sample:</t>
  </si>
  <si>
    <t>Number of grades per school</t>
  </si>
  <si>
    <t xml:space="preserve">Current </t>
  </si>
  <si>
    <t>Currency Exchange Rate</t>
  </si>
  <si>
    <t>Yes</t>
  </si>
  <si>
    <t>No</t>
  </si>
  <si>
    <t>Data Collectors/Team</t>
  </si>
  <si>
    <t>2: How many grades will be sampled?</t>
  </si>
  <si>
    <t>Total Number of Data Collectors</t>
  </si>
  <si>
    <t xml:space="preserve">Total Number of Assessments </t>
  </si>
  <si>
    <t>800</t>
  </si>
  <si>
    <t>3</t>
  </si>
  <si>
    <t>For fuel and driver for a car per day (4 people)</t>
  </si>
  <si>
    <t xml:space="preserve">Mobile phone airtime </t>
  </si>
  <si>
    <t>Instrument Design and Adaptation</t>
  </si>
  <si>
    <t>Instrument Translation</t>
  </si>
  <si>
    <t xml:space="preserve">Data Analysis </t>
  </si>
  <si>
    <t xml:space="preserve">Report Writing </t>
  </si>
  <si>
    <t>Overall Project Management</t>
  </si>
  <si>
    <t>Hours:</t>
  </si>
  <si>
    <t>Sample Design</t>
  </si>
  <si>
    <t>Assessor Training</t>
  </si>
  <si>
    <t>3. How many languages will be assessed overall?</t>
  </si>
  <si>
    <t>4: In how many languages will each pupil be assessed?</t>
  </si>
  <si>
    <t>Languages per Pupil:</t>
  </si>
  <si>
    <t xml:space="preserve">5: Select which subtasks will be included in the pupil assessment. </t>
  </si>
  <si>
    <t xml:space="preserve">6: For how many geographic regions will EGRA results be reported? </t>
  </si>
  <si>
    <t>Results by Region:</t>
  </si>
  <si>
    <t>EGRA Assessment:</t>
  </si>
  <si>
    <t>Other 1:</t>
  </si>
  <si>
    <t>Other 2:</t>
  </si>
  <si>
    <t>Pen/Pencil/Eraser/Sharpener/Markers</t>
  </si>
  <si>
    <t>Folder/Envelope</t>
  </si>
  <si>
    <t>Flipcharts</t>
  </si>
  <si>
    <t>Assessor Training Workshop</t>
  </si>
  <si>
    <t>Dissemination Workshop</t>
  </si>
  <si>
    <t>Number of Travelers:</t>
  </si>
  <si>
    <t>Labor Rate per Hour:</t>
  </si>
  <si>
    <t>15. Adjust unit inputs to directly relect unit costs of the items and expenses listed.</t>
  </si>
  <si>
    <t>Cost per Trip:</t>
  </si>
  <si>
    <t>EXPENSES</t>
  </si>
  <si>
    <t>Assessor Training Supplies</t>
  </si>
  <si>
    <t>Assessor Training Documents</t>
  </si>
  <si>
    <t xml:space="preserve">Total Assessor Training </t>
  </si>
  <si>
    <t xml:space="preserve">Data Collection Supplies  </t>
  </si>
  <si>
    <t>Data Collection Documents</t>
  </si>
  <si>
    <t>NOTE: THIS BUDGET REFLECTS COSTS FOR TYPICAL FIELD ACTIVITIES AND MAY NOT INCLUDE ALL EXPENSES ASSOCIATED WITH "HOME OFFICE" TASKS.</t>
  </si>
  <si>
    <t>8: How many schools will be sampled?</t>
  </si>
  <si>
    <t xml:space="preserve">7: Will the sample be stratified by urbanicity? </t>
  </si>
  <si>
    <t>9: How many assessors will be on each team?</t>
  </si>
  <si>
    <t>10: How many teams will collect data?</t>
  </si>
  <si>
    <t>11: Enter the labor rates and labor hours needed to complete the following activities:</t>
  </si>
  <si>
    <t>12. Enter the estimated expenses associated with travel:</t>
  </si>
  <si>
    <t>Letter Names</t>
  </si>
  <si>
    <t>Letter Sounds*</t>
  </si>
  <si>
    <t>Non-word Reading*</t>
  </si>
  <si>
    <t>Oral Reading Fluency*</t>
  </si>
  <si>
    <t>Reading Comprehension*</t>
  </si>
  <si>
    <t>Listening Comprehension*</t>
  </si>
  <si>
    <t>* Indicates subtasks of a Core EGRA</t>
  </si>
  <si>
    <t>Total Pilot</t>
  </si>
  <si>
    <t>Total Adaptation Workshop</t>
  </si>
  <si>
    <t>13. Verify  sample size inputs  for pilot and full data collection based on the parameters selected on the previous tab.</t>
  </si>
  <si>
    <t xml:space="preserve">3. Recruitment Data Collectors and Supervisors </t>
  </si>
  <si>
    <t>1: What is the cell sample size or the size of each comparison group?</t>
  </si>
  <si>
    <t>Total Estimate Based on Inputs</t>
  </si>
  <si>
    <t>Total Estimate in Local Currency</t>
  </si>
  <si>
    <t>Other 1</t>
  </si>
  <si>
    <t>Other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</si>
</sst>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322">
    <xf numFmtId="0" fontId="0" fillId="0" borderId="0" xfId="0"/>
    <xf numFmtId="0" fontId="15" fillId="0" borderId="0" xfId="0" applyFont="1"/>
    <xf numFmtId="0" fontId="16" fillId="7" borderId="11" xfId="1" applyFont="1" applyFill="1" applyBorder="1" applyAlignment="1">
      <alignment horizontal="center"/>
    </xf>
    <xf numFmtId="0" fontId="17" fillId="0" borderId="6" xfId="1" applyFont="1" applyBorder="1"/>
    <xf numFmtId="0" fontId="17" fillId="0" borderId="2" xfId="1" applyFont="1" applyBorder="1"/>
    <xf numFmtId="0" fontId="17" fillId="0" borderId="7" xfId="1" applyFont="1" applyBorder="1"/>
    <xf numFmtId="0" fontId="17" fillId="0" borderId="30" xfId="1" applyFont="1" applyBorder="1"/>
    <xf numFmtId="0" fontId="17" fillId="0" borderId="12" xfId="1" applyFont="1" applyBorder="1"/>
    <xf numFmtId="0" fontId="17" fillId="0" borderId="7" xfId="1" applyFont="1" applyBorder="1" applyAlignment="1">
      <alignment horizontal="left" wrapText="1"/>
    </xf>
    <xf numFmtId="0" fontId="17" fillId="0" borderId="6" xfId="1" applyFont="1" applyBorder="1" applyAlignment="1">
      <alignment wrapText="1"/>
    </xf>
    <xf numFmtId="0" fontId="17" fillId="0" borderId="6" xfId="1" applyFont="1" applyFill="1" applyBorder="1" applyAlignment="1">
      <alignment wrapText="1"/>
    </xf>
    <xf numFmtId="1" fontId="17" fillId="0" borderId="2" xfId="1" applyNumberFormat="1" applyFont="1" applyFill="1" applyBorder="1"/>
    <xf numFmtId="0" fontId="17" fillId="0" borderId="7" xfId="1" applyFont="1" applyBorder="1" applyAlignment="1">
      <alignment wrapText="1"/>
    </xf>
    <xf numFmtId="1" fontId="17" fillId="0" borderId="2" xfId="1" applyNumberFormat="1" applyFont="1" applyBorder="1"/>
    <xf numFmtId="0" fontId="16" fillId="7" borderId="29" xfId="5" applyFont="1" applyFill="1" applyBorder="1" applyAlignment="1">
      <alignment horizontal="center"/>
    </xf>
    <xf numFmtId="0" fontId="17" fillId="0" borderId="6" xfId="5" applyFont="1" applyBorder="1" applyAlignment="1">
      <alignment wrapText="1"/>
    </xf>
    <xf numFmtId="0" fontId="17" fillId="0" borderId="7" xfId="5" applyFont="1" applyBorder="1"/>
    <xf numFmtId="1" fontId="17" fillId="0" borderId="7" xfId="5" applyNumberFormat="1" applyFont="1" applyBorder="1"/>
    <xf numFmtId="0" fontId="17" fillId="0" borderId="7" xfId="5" applyFont="1" applyBorder="1" applyAlignment="1">
      <alignment horizontal="right"/>
    </xf>
    <xf numFmtId="0" fontId="16" fillId="0" borderId="9" xfId="5" applyFont="1" applyBorder="1" applyAlignment="1">
      <alignment horizontal="right"/>
    </xf>
    <xf numFmtId="165" fontId="17" fillId="0" borderId="1" xfId="6" applyNumberFormat="1" applyFont="1" applyBorder="1" applyAlignment="1"/>
    <xf numFmtId="165" fontId="17" fillId="0" borderId="1" xfId="6" applyNumberFormat="1" applyFont="1" applyFill="1" applyBorder="1" applyAlignment="1"/>
    <xf numFmtId="44" fontId="17" fillId="0" borderId="1" xfId="6" applyNumberFormat="1" applyFont="1" applyBorder="1"/>
    <xf numFmtId="44" fontId="19" fillId="0" borderId="1" xfId="6" applyNumberFormat="1" applyFont="1" applyFill="1" applyBorder="1"/>
    <xf numFmtId="44" fontId="17" fillId="0" borderId="1" xfId="6" applyNumberFormat="1" applyFont="1" applyFill="1" applyBorder="1"/>
    <xf numFmtId="0" fontId="16" fillId="7" borderId="10" xfId="5" applyFont="1" applyFill="1" applyBorder="1" applyAlignment="1">
      <alignment horizontal="center"/>
    </xf>
    <xf numFmtId="0" fontId="17" fillId="0" borderId="7" xfId="5" applyFont="1" applyBorder="1" applyAlignment="1"/>
    <xf numFmtId="0" fontId="17" fillId="0" borderId="6" xfId="5" applyFont="1" applyBorder="1" applyAlignment="1"/>
    <xf numFmtId="0" fontId="17" fillId="0" borderId="7" xfId="5" applyFont="1" applyBorder="1" applyAlignment="1">
      <alignment wrapText="1"/>
    </xf>
    <xf numFmtId="0" fontId="17" fillId="0" borderId="6" xfId="5" applyFont="1" applyFill="1" applyBorder="1" applyAlignment="1"/>
    <xf numFmtId="0" fontId="17" fillId="0" borderId="6" xfId="5" applyFont="1" applyFill="1" applyBorder="1"/>
    <xf numFmtId="0" fontId="17" fillId="0" borderId="6" xfId="5" applyFont="1" applyFill="1" applyBorder="1" applyAlignment="1">
      <alignment wrapText="1"/>
    </xf>
    <xf numFmtId="0" fontId="17" fillId="0" borderId="8" xfId="5" applyFont="1" applyFill="1" applyBorder="1" applyAlignment="1">
      <alignment wrapText="1"/>
    </xf>
    <xf numFmtId="44" fontId="17" fillId="0" borderId="33" xfId="6" applyNumberFormat="1" applyFont="1" applyFill="1" applyBorder="1"/>
    <xf numFmtId="0" fontId="17" fillId="0" borderId="9" xfId="5" applyFont="1" applyBorder="1" applyAlignment="1">
      <alignment wrapText="1"/>
    </xf>
    <xf numFmtId="0" fontId="17" fillId="0" borderId="12" xfId="5" applyFont="1" applyFill="1" applyBorder="1" applyAlignment="1">
      <alignment horizontal="left"/>
    </xf>
    <xf numFmtId="165" fontId="17" fillId="0" borderId="21" xfId="6" applyNumberFormat="1" applyFont="1" applyFill="1" applyBorder="1" applyAlignment="1">
      <alignment horizontal="right"/>
    </xf>
    <xf numFmtId="0" fontId="17" fillId="0" borderId="13" xfId="5" applyFont="1" applyBorder="1" applyAlignment="1"/>
    <xf numFmtId="0" fontId="17" fillId="0" borderId="1" xfId="1" applyFont="1" applyBorder="1"/>
    <xf numFmtId="164" fontId="17" fillId="0" borderId="6" xfId="1" applyNumberFormat="1" applyFont="1" applyBorder="1" applyAlignment="1">
      <alignment wrapText="1"/>
    </xf>
    <xf numFmtId="0" fontId="15" fillId="6" borderId="0" xfId="0" applyFont="1" applyFill="1"/>
    <xf numFmtId="0" fontId="21" fillId="4" borderId="5" xfId="1" applyFont="1" applyFill="1" applyBorder="1"/>
    <xf numFmtId="0" fontId="22" fillId="4" borderId="27" xfId="1" applyFont="1" applyFill="1" applyBorder="1"/>
    <xf numFmtId="0" fontId="22" fillId="4" borderId="34" xfId="1" applyFont="1" applyFill="1" applyBorder="1"/>
    <xf numFmtId="0" fontId="21" fillId="4" borderId="31" xfId="5" applyFont="1" applyFill="1" applyBorder="1"/>
    <xf numFmtId="0" fontId="21" fillId="4" borderId="0" xfId="5" applyFont="1" applyFill="1" applyBorder="1" applyAlignment="1">
      <alignment horizontal="left"/>
    </xf>
    <xf numFmtId="0" fontId="22" fillId="4" borderId="32" xfId="5" applyFont="1" applyFill="1" applyBorder="1"/>
    <xf numFmtId="0" fontId="17" fillId="0" borderId="8" xfId="5" applyFont="1" applyBorder="1" applyAlignment="1">
      <alignment wrapText="1"/>
    </xf>
    <xf numFmtId="0" fontId="17" fillId="0" borderId="1" xfId="1" applyFont="1" applyFill="1" applyBorder="1"/>
    <xf numFmtId="0" fontId="17" fillId="0" borderId="22" xfId="1" applyFont="1" applyFill="1" applyBorder="1"/>
    <xf numFmtId="1" fontId="17" fillId="0" borderId="2" xfId="5" applyNumberFormat="1" applyFont="1" applyFill="1" applyBorder="1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/>
    <xf numFmtId="0" fontId="17" fillId="0" borderId="2" xfId="5" applyFont="1" applyFill="1" applyBorder="1"/>
    <xf numFmtId="0" fontId="17" fillId="0" borderId="28" xfId="5" applyFont="1" applyFill="1" applyBorder="1"/>
    <xf numFmtId="0" fontId="0" fillId="0" borderId="0" xfId="0" applyAlignment="1">
      <alignment horizontal="left"/>
    </xf>
    <xf numFmtId="0" fontId="15" fillId="6" borderId="0" xfId="0" applyFont="1" applyFill="1" applyBorder="1"/>
    <xf numFmtId="0" fontId="0" fillId="6" borderId="0" xfId="0" applyFill="1"/>
    <xf numFmtId="0" fontId="0" fillId="6" borderId="0" xfId="0" applyFill="1" applyBorder="1"/>
    <xf numFmtId="0" fontId="0" fillId="6" borderId="0" xfId="0" applyFill="1" applyBorder="1" applyAlignment="1">
      <alignment vertical="center"/>
    </xf>
    <xf numFmtId="1" fontId="0" fillId="6" borderId="0" xfId="0" applyNumberFormat="1" applyFill="1" applyBorder="1" applyAlignment="1">
      <alignment vertical="center"/>
    </xf>
    <xf numFmtId="1" fontId="0" fillId="6" borderId="0" xfId="0" applyNumberFormat="1" applyFill="1" applyBorder="1"/>
    <xf numFmtId="0" fontId="0" fillId="6" borderId="0" xfId="0" applyFill="1" applyAlignment="1">
      <alignment wrapText="1"/>
    </xf>
    <xf numFmtId="0" fontId="0" fillId="6" borderId="0" xfId="0" applyFill="1" applyAlignment="1">
      <alignment horizontal="left"/>
    </xf>
    <xf numFmtId="49" fontId="0" fillId="6" borderId="0" xfId="0" applyNumberFormat="1" applyFill="1" applyAlignment="1">
      <alignment horizontal="left"/>
    </xf>
    <xf numFmtId="0" fontId="17" fillId="0" borderId="22" xfId="1" applyFont="1" applyBorder="1"/>
    <xf numFmtId="0" fontId="0" fillId="0" borderId="6" xfId="0" applyBorder="1"/>
    <xf numFmtId="0" fontId="0" fillId="0" borderId="8" xfId="0" applyBorder="1"/>
    <xf numFmtId="0" fontId="0" fillId="7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/>
    <xf numFmtId="43" fontId="23" fillId="0" borderId="0" xfId="9" applyFont="1" applyAlignment="1">
      <alignment horizontal="left"/>
    </xf>
    <xf numFmtId="0" fontId="17" fillId="0" borderId="2" xfId="1" applyFont="1" applyFill="1" applyBorder="1"/>
    <xf numFmtId="0" fontId="17" fillId="0" borderId="10" xfId="5" applyFont="1" applyFill="1" applyBorder="1"/>
    <xf numFmtId="44" fontId="17" fillId="0" borderId="35" xfId="6" applyNumberFormat="1" applyFont="1" applyBorder="1"/>
    <xf numFmtId="0" fontId="17" fillId="0" borderId="11" xfId="5" applyFont="1" applyBorder="1"/>
    <xf numFmtId="0" fontId="16" fillId="9" borderId="3" xfId="5" applyFont="1" applyFill="1" applyBorder="1" applyAlignment="1">
      <alignment horizontal="center"/>
    </xf>
    <xf numFmtId="0" fontId="16" fillId="9" borderId="16" xfId="5" applyFont="1" applyFill="1" applyBorder="1" applyAlignment="1">
      <alignment horizontal="center"/>
    </xf>
    <xf numFmtId="0" fontId="16" fillId="9" borderId="20" xfId="5" applyFont="1" applyFill="1" applyBorder="1" applyAlignment="1">
      <alignment horizontal="center"/>
    </xf>
    <xf numFmtId="0" fontId="16" fillId="9" borderId="15" xfId="5" applyFont="1" applyFill="1" applyBorder="1" applyAlignment="1">
      <alignment horizontal="center"/>
    </xf>
    <xf numFmtId="0" fontId="16" fillId="9" borderId="5" xfId="1" applyFont="1" applyFill="1" applyBorder="1" applyAlignment="1">
      <alignment horizontal="center"/>
    </xf>
    <xf numFmtId="0" fontId="17" fillId="9" borderId="27" xfId="1" applyFont="1" applyFill="1" applyBorder="1" applyAlignment="1">
      <alignment horizontal="center"/>
    </xf>
    <xf numFmtId="0" fontId="16" fillId="9" borderId="11" xfId="1" applyFont="1" applyFill="1" applyBorder="1" applyAlignment="1">
      <alignment horizontal="center"/>
    </xf>
    <xf numFmtId="0" fontId="0" fillId="0" borderId="0" xfId="0" applyProtection="1"/>
    <xf numFmtId="0" fontId="13" fillId="0" borderId="0" xfId="5" applyFont="1" applyFill="1" applyAlignment="1" applyProtection="1">
      <alignment horizontal="left" vertical="top" wrapText="1"/>
    </xf>
    <xf numFmtId="0" fontId="13" fillId="0" borderId="0" xfId="5" applyFont="1" applyAlignment="1" applyProtection="1">
      <alignment vertical="top"/>
    </xf>
    <xf numFmtId="0" fontId="14" fillId="0" borderId="0" xfId="5" applyFont="1" applyProtection="1"/>
    <xf numFmtId="0" fontId="13" fillId="3" borderId="3" xfId="5" applyFont="1" applyFill="1" applyBorder="1" applyAlignment="1" applyProtection="1">
      <alignment vertical="top"/>
    </xf>
    <xf numFmtId="0" fontId="13" fillId="3" borderId="4" xfId="5" applyFont="1" applyFill="1" applyBorder="1" applyAlignment="1" applyProtection="1">
      <alignment horizontal="center" vertical="top"/>
    </xf>
    <xf numFmtId="43" fontId="14" fillId="0" borderId="0" xfId="8" applyFont="1" applyAlignment="1" applyProtection="1">
      <alignment vertical="top"/>
    </xf>
    <xf numFmtId="0" fontId="13" fillId="0" borderId="0" xfId="5" applyFont="1" applyBorder="1" applyAlignment="1" applyProtection="1">
      <alignment vertical="top"/>
    </xf>
    <xf numFmtId="0" fontId="14" fillId="0" borderId="0" xfId="5" applyFont="1" applyBorder="1" applyAlignment="1" applyProtection="1">
      <alignment horizontal="center" vertical="top"/>
    </xf>
    <xf numFmtId="0" fontId="14" fillId="0" borderId="0" xfId="5" applyFont="1" applyBorder="1" applyAlignment="1" applyProtection="1">
      <alignment vertical="top"/>
    </xf>
    <xf numFmtId="43" fontId="14" fillId="0" borderId="0" xfId="8" applyFont="1" applyBorder="1" applyAlignment="1" applyProtection="1">
      <alignment vertical="top"/>
    </xf>
    <xf numFmtId="0" fontId="13" fillId="0" borderId="0" xfId="5" applyFont="1" applyFill="1" applyBorder="1" applyAlignment="1" applyProtection="1">
      <alignment horizontal="center" vertical="top"/>
    </xf>
    <xf numFmtId="0" fontId="13" fillId="0" borderId="0" xfId="5" applyFont="1" applyFill="1" applyBorder="1" applyAlignment="1" applyProtection="1">
      <alignment vertical="top"/>
    </xf>
    <xf numFmtId="0" fontId="11" fillId="0" borderId="0" xfId="5" applyFont="1" applyFill="1" applyBorder="1" applyAlignment="1" applyProtection="1">
      <alignment vertical="top"/>
    </xf>
    <xf numFmtId="0" fontId="12" fillId="0" borderId="0" xfId="5" applyFont="1" applyFill="1" applyBorder="1" applyAlignment="1" applyProtection="1">
      <alignment vertical="top"/>
    </xf>
    <xf numFmtId="0" fontId="12" fillId="0" borderId="0" xfId="5" applyFont="1" applyFill="1" applyBorder="1" applyAlignment="1" applyProtection="1">
      <alignment horizontal="center" vertical="top"/>
    </xf>
    <xf numFmtId="43" fontId="12" fillId="0" borderId="0" xfId="8" applyFont="1" applyFill="1" applyBorder="1" applyAlignment="1" applyProtection="1">
      <alignment vertical="top"/>
    </xf>
    <xf numFmtId="0" fontId="14" fillId="0" borderId="0" xfId="5" applyFont="1" applyFill="1" applyBorder="1" applyAlignment="1" applyProtection="1">
      <alignment vertical="top"/>
    </xf>
    <xf numFmtId="0" fontId="6" fillId="0" borderId="0" xfId="5" applyFont="1" applyFill="1" applyBorder="1" applyAlignment="1" applyProtection="1">
      <alignment vertical="top"/>
    </xf>
    <xf numFmtId="0" fontId="6" fillId="0" borderId="0" xfId="5" applyFont="1" applyFill="1" applyBorder="1" applyAlignment="1" applyProtection="1">
      <alignment horizontal="center" vertical="top"/>
    </xf>
    <xf numFmtId="43" fontId="6" fillId="0" borderId="0" xfId="8" applyFont="1" applyFill="1" applyBorder="1" applyAlignment="1" applyProtection="1">
      <alignment vertical="top"/>
    </xf>
    <xf numFmtId="0" fontId="5" fillId="0" borderId="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horizontal="center" vertical="center" wrapText="1"/>
    </xf>
    <xf numFmtId="43" fontId="5" fillId="0" borderId="0" xfId="8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horizontal="left" vertical="top"/>
    </xf>
    <xf numFmtId="43" fontId="6" fillId="0" borderId="0" xfId="8" applyNumberFormat="1" applyFont="1" applyFill="1" applyBorder="1" applyAlignment="1" applyProtection="1">
      <alignment horizontal="center" vertical="top"/>
    </xf>
    <xf numFmtId="43" fontId="6" fillId="0" borderId="0" xfId="8" applyFont="1" applyFill="1" applyBorder="1" applyAlignment="1" applyProtection="1">
      <alignment horizontal="right" vertical="top"/>
    </xf>
    <xf numFmtId="43" fontId="6" fillId="0" borderId="0" xfId="5" applyNumberFormat="1" applyFont="1" applyFill="1" applyBorder="1" applyAlignment="1" applyProtection="1">
      <alignment horizontal="center" vertical="top"/>
    </xf>
    <xf numFmtId="0" fontId="6" fillId="0" borderId="0" xfId="5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right" wrapText="1"/>
    </xf>
    <xf numFmtId="0" fontId="5" fillId="0" borderId="0" xfId="5" applyFont="1" applyFill="1" applyBorder="1" applyAlignment="1" applyProtection="1"/>
    <xf numFmtId="0" fontId="5" fillId="0" borderId="0" xfId="5" applyFont="1" applyFill="1" applyBorder="1" applyAlignment="1" applyProtection="1">
      <alignment horizontal="center"/>
    </xf>
    <xf numFmtId="43" fontId="5" fillId="0" borderId="0" xfId="5" applyNumberFormat="1" applyFont="1" applyFill="1" applyBorder="1" applyAlignment="1" applyProtection="1">
      <alignment horizontal="center"/>
    </xf>
    <xf numFmtId="43" fontId="5" fillId="0" borderId="0" xfId="5" applyNumberFormat="1" applyFont="1" applyFill="1" applyBorder="1" applyAlignment="1" applyProtection="1"/>
    <xf numFmtId="0" fontId="21" fillId="4" borderId="1" xfId="5" applyFont="1" applyFill="1" applyBorder="1" applyAlignment="1" applyProtection="1">
      <alignment vertical="top"/>
    </xf>
    <xf numFmtId="0" fontId="22" fillId="4" borderId="1" xfId="5" applyFont="1" applyFill="1" applyBorder="1" applyAlignment="1" applyProtection="1">
      <alignment vertical="top"/>
    </xf>
    <xf numFmtId="0" fontId="22" fillId="4" borderId="1" xfId="5" applyFont="1" applyFill="1" applyBorder="1" applyAlignment="1" applyProtection="1">
      <alignment horizontal="center" vertical="top"/>
    </xf>
    <xf numFmtId="43" fontId="21" fillId="4" borderId="1" xfId="8" applyFont="1" applyFill="1" applyBorder="1" applyAlignment="1" applyProtection="1">
      <alignment vertical="top"/>
    </xf>
    <xf numFmtId="0" fontId="20" fillId="4" borderId="1" xfId="5" applyFont="1" applyFill="1" applyBorder="1" applyAlignment="1" applyProtection="1">
      <alignment horizontal="center" vertical="center"/>
    </xf>
    <xf numFmtId="0" fontId="20" fillId="4" borderId="1" xfId="5" applyFont="1" applyFill="1" applyBorder="1" applyAlignment="1" applyProtection="1">
      <alignment horizontal="center" vertical="center" wrapText="1"/>
    </xf>
    <xf numFmtId="0" fontId="13" fillId="9" borderId="1" xfId="5" applyFont="1" applyFill="1" applyBorder="1" applyAlignment="1" applyProtection="1">
      <alignment horizontal="center" vertical="center"/>
    </xf>
    <xf numFmtId="0" fontId="13" fillId="9" borderId="1" xfId="5" applyFont="1" applyFill="1" applyBorder="1" applyAlignment="1" applyProtection="1">
      <alignment horizontal="center" vertical="center" wrapText="1"/>
    </xf>
    <xf numFmtId="43" fontId="13" fillId="9" borderId="1" xfId="8" applyFont="1" applyFill="1" applyBorder="1" applyAlignment="1" applyProtection="1">
      <alignment horizontal="center" vertical="center" wrapText="1"/>
    </xf>
    <xf numFmtId="0" fontId="17" fillId="0" borderId="1" xfId="5" applyFont="1" applyBorder="1" applyProtection="1"/>
    <xf numFmtId="44" fontId="19" fillId="0" borderId="1" xfId="6" applyFont="1" applyBorder="1" applyProtection="1"/>
    <xf numFmtId="44" fontId="17" fillId="0" borderId="1" xfId="6" applyNumberFormat="1" applyFont="1" applyBorder="1" applyProtection="1"/>
    <xf numFmtId="0" fontId="13" fillId="5" borderId="1" xfId="5" applyFont="1" applyFill="1" applyBorder="1" applyAlignment="1" applyProtection="1">
      <alignment vertical="top" wrapText="1"/>
    </xf>
    <xf numFmtId="0" fontId="14" fillId="5" borderId="1" xfId="5" applyFont="1" applyFill="1" applyBorder="1" applyAlignment="1" applyProtection="1">
      <alignment vertical="top"/>
    </xf>
    <xf numFmtId="0" fontId="14" fillId="5" borderId="1" xfId="5" applyFont="1" applyFill="1" applyBorder="1" applyAlignment="1" applyProtection="1">
      <alignment horizontal="center" vertical="top"/>
    </xf>
    <xf numFmtId="43" fontId="14" fillId="5" borderId="1" xfId="8" applyFont="1" applyFill="1" applyBorder="1" applyAlignment="1" applyProtection="1">
      <alignment horizontal="right" vertical="top"/>
    </xf>
    <xf numFmtId="44" fontId="17" fillId="0" borderId="1" xfId="6" applyFont="1" applyBorder="1" applyProtection="1"/>
    <xf numFmtId="0" fontId="14" fillId="0" borderId="1" xfId="5" applyFont="1" applyBorder="1" applyAlignment="1" applyProtection="1">
      <alignment horizontal="left" vertical="top" wrapText="1"/>
    </xf>
    <xf numFmtId="44" fontId="14" fillId="0" borderId="1" xfId="5" applyNumberFormat="1" applyFont="1" applyBorder="1" applyAlignment="1" applyProtection="1">
      <alignment horizontal="left" vertical="top"/>
    </xf>
    <xf numFmtId="1" fontId="14" fillId="0" borderId="1" xfId="5" applyNumberFormat="1" applyFont="1" applyBorder="1" applyAlignment="1" applyProtection="1">
      <alignment horizontal="center" vertical="top"/>
    </xf>
    <xf numFmtId="0" fontId="14" fillId="0" borderId="1" xfId="5" applyFont="1" applyBorder="1" applyAlignment="1" applyProtection="1">
      <alignment vertical="top"/>
    </xf>
    <xf numFmtId="43" fontId="14" fillId="0" borderId="1" xfId="8" applyFont="1" applyBorder="1" applyAlignment="1" applyProtection="1">
      <alignment horizontal="right" vertical="top"/>
    </xf>
    <xf numFmtId="43" fontId="14" fillId="0" borderId="1" xfId="8" applyFont="1" applyBorder="1" applyAlignment="1" applyProtection="1">
      <alignment vertical="top"/>
    </xf>
    <xf numFmtId="0" fontId="14" fillId="0" borderId="1" xfId="5" applyFont="1" applyBorder="1" applyAlignment="1" applyProtection="1">
      <alignment vertical="top" wrapText="1"/>
    </xf>
    <xf numFmtId="0" fontId="17" fillId="0" borderId="1" xfId="5" applyFont="1" applyBorder="1" applyAlignment="1" applyProtection="1">
      <alignment horizontal="left" wrapText="1"/>
    </xf>
    <xf numFmtId="0" fontId="14" fillId="0" borderId="1" xfId="5" applyFont="1" applyBorder="1" applyAlignment="1" applyProtection="1">
      <alignment horizontal="center" vertical="top"/>
    </xf>
    <xf numFmtId="0" fontId="17" fillId="0" borderId="1" xfId="5" applyFont="1" applyBorder="1" applyAlignment="1" applyProtection="1">
      <alignment wrapText="1"/>
    </xf>
    <xf numFmtId="44" fontId="19" fillId="0" borderId="1" xfId="6" applyFont="1" applyFill="1" applyBorder="1" applyProtection="1"/>
    <xf numFmtId="0" fontId="14" fillId="0" borderId="1" xfId="5" applyFont="1" applyBorder="1" applyAlignment="1" applyProtection="1">
      <alignment horizontal="left" vertical="top"/>
    </xf>
    <xf numFmtId="44" fontId="17" fillId="0" borderId="1" xfId="6" applyFont="1" applyFill="1" applyBorder="1" applyProtection="1"/>
    <xf numFmtId="0" fontId="13" fillId="9" borderId="1" xfId="5" applyFont="1" applyFill="1" applyBorder="1" applyAlignment="1" applyProtection="1">
      <alignment horizontal="right" vertical="top" wrapText="1"/>
    </xf>
    <xf numFmtId="0" fontId="14" fillId="9" borderId="1" xfId="5" applyFont="1" applyFill="1" applyBorder="1" applyAlignment="1" applyProtection="1">
      <alignment vertical="top"/>
    </xf>
    <xf numFmtId="0" fontId="14" fillId="9" borderId="1" xfId="5" applyFont="1" applyFill="1" applyBorder="1" applyAlignment="1" applyProtection="1">
      <alignment horizontal="center" vertical="top"/>
    </xf>
    <xf numFmtId="43" fontId="13" fillId="9" borderId="1" xfId="8" applyFont="1" applyFill="1" applyBorder="1" applyAlignment="1" applyProtection="1">
      <alignment horizontal="right" vertical="top"/>
    </xf>
    <xf numFmtId="43" fontId="13" fillId="9" borderId="1" xfId="8" applyFont="1" applyFill="1" applyBorder="1" applyAlignment="1" applyProtection="1">
      <alignment vertical="top"/>
    </xf>
    <xf numFmtId="43" fontId="14" fillId="5" borderId="1" xfId="8" applyFont="1" applyFill="1" applyBorder="1" applyAlignment="1" applyProtection="1">
      <alignment vertical="top"/>
    </xf>
    <xf numFmtId="0" fontId="16" fillId="9" borderId="1" xfId="5" applyFont="1" applyFill="1" applyBorder="1" applyAlignment="1" applyProtection="1">
      <alignment wrapText="1"/>
    </xf>
    <xf numFmtId="0" fontId="17" fillId="9" borderId="1" xfId="5" applyFont="1" applyFill="1" applyBorder="1" applyProtection="1"/>
    <xf numFmtId="44" fontId="16" fillId="9" borderId="1" xfId="6" applyFont="1" applyFill="1" applyBorder="1" applyProtection="1"/>
    <xf numFmtId="3" fontId="20" fillId="4" borderId="1" xfId="5" applyNumberFormat="1" applyFont="1" applyFill="1" applyBorder="1" applyAlignment="1" applyProtection="1">
      <alignment horizontal="center" vertical="center" wrapText="1"/>
    </xf>
    <xf numFmtId="44" fontId="17" fillId="0" borderId="1" xfId="5" applyNumberFormat="1" applyFont="1" applyBorder="1" applyProtection="1"/>
    <xf numFmtId="1" fontId="17" fillId="0" borderId="1" xfId="5" applyNumberFormat="1" applyFont="1" applyBorder="1" applyProtection="1"/>
    <xf numFmtId="0" fontId="13" fillId="5" borderId="1" xfId="5" applyFont="1" applyFill="1" applyBorder="1" applyAlignment="1" applyProtection="1">
      <alignment horizontal="left" vertical="top" wrapText="1"/>
    </xf>
    <xf numFmtId="43" fontId="13" fillId="5" borderId="1" xfId="8" applyFont="1" applyFill="1" applyBorder="1" applyAlignment="1" applyProtection="1">
      <alignment horizontal="right" vertical="top"/>
    </xf>
    <xf numFmtId="0" fontId="14" fillId="0" borderId="1" xfId="5" applyFont="1" applyFill="1" applyBorder="1" applyAlignment="1" applyProtection="1">
      <alignment horizontal="left" vertical="top" wrapText="1"/>
    </xf>
    <xf numFmtId="0" fontId="14" fillId="0" borderId="1" xfId="5" applyFont="1" applyFill="1" applyBorder="1" applyAlignment="1" applyProtection="1">
      <alignment vertical="top"/>
    </xf>
    <xf numFmtId="0" fontId="14" fillId="0" borderId="1" xfId="5" applyFont="1" applyFill="1" applyBorder="1" applyAlignment="1" applyProtection="1">
      <alignment horizontal="center" vertical="top"/>
    </xf>
    <xf numFmtId="43" fontId="14" fillId="0" borderId="1" xfId="8" applyFont="1" applyFill="1" applyBorder="1" applyAlignment="1" applyProtection="1">
      <alignment horizontal="right" vertical="top"/>
    </xf>
    <xf numFmtId="0" fontId="16" fillId="9" borderId="1" xfId="5" applyFont="1" applyFill="1" applyBorder="1" applyProtection="1"/>
    <xf numFmtId="0" fontId="17" fillId="9" borderId="1" xfId="5" applyFont="1" applyFill="1" applyBorder="1" applyAlignment="1" applyProtection="1">
      <alignment wrapText="1"/>
    </xf>
    <xf numFmtId="0" fontId="10" fillId="4" borderId="1" xfId="5" applyFont="1" applyFill="1" applyBorder="1" applyAlignment="1" applyProtection="1">
      <alignment horizontal="center" vertical="center" wrapText="1"/>
    </xf>
    <xf numFmtId="3" fontId="10" fillId="4" borderId="1" xfId="5" applyNumberFormat="1" applyFont="1" applyFill="1" applyBorder="1" applyAlignment="1" applyProtection="1">
      <alignment horizontal="center" vertical="center" wrapText="1"/>
    </xf>
    <xf numFmtId="0" fontId="3" fillId="0" borderId="1" xfId="5" applyFont="1" applyFill="1" applyBorder="1" applyAlignment="1" applyProtection="1">
      <alignment horizontal="left" wrapText="1"/>
    </xf>
    <xf numFmtId="44" fontId="9" fillId="0" borderId="1" xfId="6" applyFont="1" applyFill="1" applyBorder="1" applyAlignment="1" applyProtection="1">
      <alignment horizontal="right" wrapText="1"/>
    </xf>
    <xf numFmtId="0" fontId="3" fillId="0" borderId="1" xfId="5" applyFont="1" applyFill="1" applyBorder="1" applyAlignment="1" applyProtection="1">
      <alignment wrapText="1"/>
    </xf>
    <xf numFmtId="0" fontId="9" fillId="4" borderId="1" xfId="5" applyFont="1" applyFill="1" applyBorder="1" applyAlignment="1" applyProtection="1">
      <alignment horizontal="left" wrapText="1"/>
    </xf>
    <xf numFmtId="0" fontId="3" fillId="0" borderId="1" xfId="5" applyFont="1" applyBorder="1" applyAlignment="1" applyProtection="1">
      <alignment horizontal="left" wrapText="1"/>
    </xf>
    <xf numFmtId="0" fontId="3" fillId="0" borderId="1" xfId="5" applyFont="1" applyBorder="1" applyAlignment="1" applyProtection="1"/>
    <xf numFmtId="0" fontId="3" fillId="4" borderId="1" xfId="5" applyFont="1" applyFill="1" applyBorder="1" applyAlignment="1" applyProtection="1">
      <alignment wrapText="1"/>
    </xf>
    <xf numFmtId="49" fontId="3" fillId="0" borderId="1" xfId="5" applyNumberFormat="1" applyFont="1" applyBorder="1" applyAlignment="1" applyProtection="1">
      <alignment wrapText="1"/>
    </xf>
    <xf numFmtId="0" fontId="3" fillId="4" borderId="1" xfId="5" applyFont="1" applyFill="1" applyBorder="1" applyAlignment="1" applyProtection="1">
      <alignment horizontal="left" wrapText="1"/>
    </xf>
    <xf numFmtId="0" fontId="9" fillId="0" borderId="1" xfId="5" applyFont="1" applyFill="1" applyBorder="1" applyAlignment="1" applyProtection="1">
      <alignment horizontal="left" vertical="center" wrapText="1"/>
    </xf>
    <xf numFmtId="0" fontId="14" fillId="0" borderId="1" xfId="5" applyFont="1" applyFill="1" applyBorder="1" applyAlignment="1" applyProtection="1">
      <alignment vertical="top" wrapText="1"/>
    </xf>
    <xf numFmtId="43" fontId="14" fillId="0" borderId="1" xfId="8" applyFont="1" applyBorder="1" applyAlignment="1" applyProtection="1">
      <alignment horizontal="center" vertical="top"/>
    </xf>
    <xf numFmtId="0" fontId="3" fillId="0" borderId="1" xfId="5" applyFont="1" applyBorder="1" applyAlignment="1" applyProtection="1">
      <alignment wrapText="1"/>
    </xf>
    <xf numFmtId="44" fontId="3" fillId="0" borderId="1" xfId="6" applyFont="1" applyFill="1" applyBorder="1" applyAlignment="1" applyProtection="1"/>
    <xf numFmtId="0" fontId="9" fillId="0" borderId="1" xfId="5" applyFont="1" applyFill="1" applyBorder="1" applyAlignment="1" applyProtection="1">
      <alignment horizontal="right" wrapText="1"/>
    </xf>
    <xf numFmtId="0" fontId="9" fillId="0" borderId="1" xfId="5" applyFont="1" applyFill="1" applyBorder="1" applyAlignment="1" applyProtection="1">
      <alignment horizontal="left" wrapText="1"/>
    </xf>
    <xf numFmtId="0" fontId="14" fillId="0" borderId="1" xfId="5" applyFont="1" applyBorder="1" applyAlignment="1" applyProtection="1">
      <alignment horizontal="right" vertical="top"/>
    </xf>
    <xf numFmtId="44" fontId="7" fillId="0" borderId="1" xfId="6" applyFont="1" applyBorder="1" applyProtection="1"/>
    <xf numFmtId="0" fontId="3" fillId="0" borderId="1" xfId="5" applyFont="1" applyBorder="1" applyProtection="1"/>
    <xf numFmtId="44" fontId="3" fillId="0" borderId="1" xfId="6" applyFont="1" applyBorder="1" applyProtection="1"/>
    <xf numFmtId="43" fontId="14" fillId="0" borderId="1" xfId="8" applyFont="1" applyFill="1" applyBorder="1" applyAlignment="1" applyProtection="1">
      <alignment vertical="top"/>
    </xf>
    <xf numFmtId="0" fontId="0" fillId="0" borderId="0" xfId="0" applyFill="1" applyProtection="1"/>
    <xf numFmtId="0" fontId="3" fillId="0" borderId="14" xfId="5" applyFont="1" applyFill="1" applyBorder="1" applyAlignment="1" applyProtection="1">
      <alignment horizontal="left" wrapText="1"/>
    </xf>
    <xf numFmtId="0" fontId="9" fillId="0" borderId="1" xfId="5" applyFont="1" applyFill="1" applyBorder="1" applyAlignment="1" applyProtection="1">
      <alignment wrapText="1"/>
    </xf>
    <xf numFmtId="44" fontId="3" fillId="0" borderId="1" xfId="6" applyFont="1" applyFill="1" applyBorder="1" applyProtection="1"/>
    <xf numFmtId="1" fontId="3" fillId="0" borderId="1" xfId="5" applyNumberFormat="1" applyFont="1" applyBorder="1" applyAlignment="1" applyProtection="1">
      <alignment horizontal="right"/>
    </xf>
    <xf numFmtId="43" fontId="14" fillId="0" borderId="26" xfId="8" applyFont="1" applyBorder="1" applyAlignment="1" applyProtection="1">
      <alignment vertical="top"/>
    </xf>
    <xf numFmtId="0" fontId="0" fillId="0" borderId="1" xfId="0" applyBorder="1" applyProtection="1"/>
    <xf numFmtId="0" fontId="0" fillId="0" borderId="26" xfId="0" applyBorder="1" applyProtection="1"/>
    <xf numFmtId="0" fontId="4" fillId="9" borderId="1" xfId="5" applyFont="1" applyFill="1" applyBorder="1" applyAlignment="1" applyProtection="1">
      <alignment wrapText="1"/>
    </xf>
    <xf numFmtId="0" fontId="4" fillId="9" borderId="1" xfId="5" applyFont="1" applyFill="1" applyBorder="1" applyProtection="1"/>
    <xf numFmtId="44" fontId="4" fillId="9" borderId="1" xfId="6" applyFont="1" applyFill="1" applyBorder="1" applyProtection="1"/>
    <xf numFmtId="0" fontId="3" fillId="9" borderId="1" xfId="5" applyFont="1" applyFill="1" applyBorder="1" applyProtection="1"/>
    <xf numFmtId="44" fontId="3" fillId="0" borderId="1" xfId="6" applyFont="1" applyFill="1" applyBorder="1" applyAlignment="1" applyProtection="1">
      <alignment horizontal="right"/>
    </xf>
    <xf numFmtId="1" fontId="3" fillId="0" borderId="1" xfId="5" applyNumberFormat="1" applyFont="1" applyFill="1" applyBorder="1" applyProtection="1"/>
    <xf numFmtId="44" fontId="3" fillId="0" borderId="1" xfId="6" applyFont="1" applyBorder="1" applyAlignment="1" applyProtection="1">
      <alignment horizontal="right"/>
    </xf>
    <xf numFmtId="0" fontId="13" fillId="8" borderId="1" xfId="5" applyFont="1" applyFill="1" applyBorder="1" applyAlignment="1" applyProtection="1">
      <alignment horizontal="right" vertical="top"/>
    </xf>
    <xf numFmtId="0" fontId="14" fillId="8" borderId="1" xfId="5" applyFont="1" applyFill="1" applyBorder="1" applyAlignment="1" applyProtection="1">
      <alignment vertical="top"/>
    </xf>
    <xf numFmtId="0" fontId="14" fillId="8" borderId="1" xfId="5" applyFont="1" applyFill="1" applyBorder="1" applyAlignment="1" applyProtection="1">
      <alignment horizontal="center" vertical="top"/>
    </xf>
    <xf numFmtId="43" fontId="13" fillId="8" borderId="1" xfId="8" applyFont="1" applyFill="1" applyBorder="1" applyAlignment="1" applyProtection="1">
      <alignment vertical="top"/>
    </xf>
    <xf numFmtId="1" fontId="3" fillId="0" borderId="1" xfId="5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right"/>
    </xf>
    <xf numFmtId="49" fontId="3" fillId="0" borderId="1" xfId="5" applyNumberFormat="1" applyFont="1" applyFill="1" applyBorder="1" applyAlignment="1" applyProtection="1">
      <alignment wrapText="1"/>
    </xf>
    <xf numFmtId="0" fontId="10" fillId="4" borderId="15" xfId="5" applyFont="1" applyFill="1" applyBorder="1" applyAlignment="1" applyProtection="1">
      <alignment horizontal="center" wrapText="1"/>
    </xf>
    <xf numFmtId="0" fontId="10" fillId="4" borderId="16" xfId="5" applyFont="1" applyFill="1" applyBorder="1" applyAlignment="1" applyProtection="1">
      <alignment horizontal="center" wrapText="1"/>
    </xf>
    <xf numFmtId="0" fontId="10" fillId="4" borderId="17" xfId="5" applyFont="1" applyFill="1" applyBorder="1" applyAlignment="1" applyProtection="1">
      <alignment horizontal="center" wrapText="1"/>
    </xf>
    <xf numFmtId="1" fontId="10" fillId="4" borderId="18" xfId="5" applyNumberFormat="1" applyFont="1" applyFill="1" applyBorder="1" applyAlignment="1" applyProtection="1">
      <alignment horizontal="center" wrapText="1"/>
    </xf>
    <xf numFmtId="3" fontId="10" fillId="4" borderId="19" xfId="5" applyNumberFormat="1" applyFont="1" applyFill="1" applyBorder="1" applyAlignment="1" applyProtection="1">
      <alignment horizontal="center" wrapText="1"/>
    </xf>
    <xf numFmtId="0" fontId="10" fillId="4" borderId="20" xfId="5" applyFont="1" applyFill="1" applyBorder="1" applyAlignment="1" applyProtection="1">
      <alignment horizontal="center" wrapText="1"/>
    </xf>
    <xf numFmtId="0" fontId="9" fillId="6" borderId="21" xfId="5" applyFont="1" applyFill="1" applyBorder="1" applyAlignment="1" applyProtection="1">
      <alignment horizontal="left" wrapText="1"/>
    </xf>
    <xf numFmtId="44" fontId="3" fillId="0" borderId="21" xfId="5" applyNumberFormat="1" applyFont="1" applyFill="1" applyBorder="1" applyAlignment="1" applyProtection="1">
      <alignment horizontal="right"/>
    </xf>
    <xf numFmtId="0" fontId="9" fillId="6" borderId="22" xfId="5" applyFont="1" applyFill="1" applyBorder="1" applyAlignment="1" applyProtection="1">
      <alignment horizontal="right" wrapText="1"/>
    </xf>
    <xf numFmtId="1" fontId="3" fillId="0" borderId="23" xfId="5" applyNumberFormat="1" applyFont="1" applyFill="1" applyBorder="1" applyAlignment="1" applyProtection="1">
      <alignment horizontal="right" wrapText="1"/>
    </xf>
    <xf numFmtId="44" fontId="3" fillId="6" borderId="24" xfId="6" applyFont="1" applyFill="1" applyBorder="1" applyAlignment="1" applyProtection="1">
      <alignment horizontal="right" wrapText="1"/>
    </xf>
    <xf numFmtId="44" fontId="3" fillId="0" borderId="1" xfId="5" applyNumberFormat="1" applyFont="1" applyFill="1" applyBorder="1" applyAlignment="1" applyProtection="1"/>
    <xf numFmtId="0" fontId="3" fillId="0" borderId="2" xfId="5" applyFont="1" applyBorder="1" applyAlignment="1" applyProtection="1"/>
    <xf numFmtId="1" fontId="3" fillId="0" borderId="25" xfId="5" applyNumberFormat="1" applyFont="1" applyFill="1" applyBorder="1" applyAlignment="1" applyProtection="1">
      <alignment horizontal="right"/>
    </xf>
    <xf numFmtId="44" fontId="3" fillId="0" borderId="26" xfId="6" applyFont="1" applyFill="1" applyBorder="1" applyAlignment="1" applyProtection="1">
      <alignment horizontal="right" wrapText="1"/>
    </xf>
    <xf numFmtId="0" fontId="9" fillId="6" borderId="1" xfId="5" applyFont="1" applyFill="1" applyBorder="1" applyAlignment="1" applyProtection="1">
      <alignment horizontal="left" wrapText="1"/>
    </xf>
    <xf numFmtId="0" fontId="3" fillId="0" borderId="2" xfId="5" applyFont="1" applyFill="1" applyBorder="1" applyAlignment="1" applyProtection="1"/>
    <xf numFmtId="44" fontId="3" fillId="0" borderId="1" xfId="5" applyNumberFormat="1" applyFont="1" applyFill="1" applyBorder="1" applyAlignment="1" applyProtection="1">
      <alignment wrapText="1"/>
    </xf>
    <xf numFmtId="0" fontId="3" fillId="0" borderId="2" xfId="5" applyFont="1" applyBorder="1" applyAlignment="1" applyProtection="1">
      <alignment wrapText="1"/>
    </xf>
    <xf numFmtId="1" fontId="3" fillId="0" borderId="25" xfId="5" applyNumberFormat="1" applyFont="1" applyFill="1" applyBorder="1" applyAlignment="1" applyProtection="1">
      <alignment horizontal="right" wrapText="1"/>
    </xf>
    <xf numFmtId="0" fontId="8" fillId="9" borderId="1" xfId="5" applyFont="1" applyFill="1" applyBorder="1" applyAlignment="1" applyProtection="1"/>
    <xf numFmtId="0" fontId="8" fillId="9" borderId="1" xfId="5" applyFont="1" applyFill="1" applyBorder="1" applyProtection="1"/>
    <xf numFmtId="1" fontId="4" fillId="9" borderId="1" xfId="5" applyNumberFormat="1" applyFont="1" applyFill="1" applyBorder="1" applyAlignment="1" applyProtection="1">
      <alignment horizontal="right"/>
    </xf>
    <xf numFmtId="44" fontId="4" fillId="9" borderId="1" xfId="6" applyFont="1" applyFill="1" applyBorder="1" applyAlignment="1" applyProtection="1">
      <alignment horizontal="right"/>
    </xf>
    <xf numFmtId="0" fontId="3" fillId="9" borderId="1" xfId="5" applyFont="1" applyFill="1" applyBorder="1" applyAlignment="1" applyProtection="1">
      <alignment wrapText="1"/>
    </xf>
    <xf numFmtId="0" fontId="5" fillId="0" borderId="0" xfId="5" applyFont="1" applyFill="1" applyBorder="1" applyAlignment="1" applyProtection="1">
      <alignment horizontal="center" vertical="top"/>
    </xf>
    <xf numFmtId="0" fontId="0" fillId="0" borderId="0" xfId="0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23" fillId="0" borderId="11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23" fillId="0" borderId="39" xfId="0" applyFont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/>
    <xf numFmtId="0" fontId="23" fillId="0" borderId="10" xfId="0" applyFont="1" applyBorder="1" applyAlignment="1" applyProtection="1">
      <alignment horizontal="center"/>
    </xf>
    <xf numFmtId="0" fontId="23" fillId="0" borderId="35" xfId="0" applyFont="1" applyBorder="1" applyAlignment="1" applyProtection="1">
      <alignment horizontal="center"/>
    </xf>
    <xf numFmtId="0" fontId="23" fillId="0" borderId="1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7" xfId="0" applyFill="1" applyBorder="1" applyProtection="1"/>
    <xf numFmtId="1" fontId="0" fillId="0" borderId="1" xfId="0" applyNumberFormat="1" applyFill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33" xfId="0" applyFill="1" applyBorder="1" applyProtection="1"/>
    <xf numFmtId="0" fontId="0" fillId="0" borderId="9" xfId="0" applyFill="1" applyBorder="1" applyProtection="1"/>
    <xf numFmtId="166" fontId="0" fillId="0" borderId="0" xfId="0" applyNumberFormat="1" applyFill="1" applyProtection="1"/>
    <xf numFmtId="0" fontId="23" fillId="0" borderId="11" xfId="0" applyFont="1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vertical="top"/>
      <protection locked="0"/>
    </xf>
    <xf numFmtId="166" fontId="0" fillId="0" borderId="0" xfId="0" applyNumberFormat="1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7" fontId="26" fillId="2" borderId="1" xfId="10" applyNumberFormat="1" applyFont="1" applyFill="1" applyBorder="1" applyProtection="1">
      <protection locked="0"/>
    </xf>
    <xf numFmtId="0" fontId="23" fillId="0" borderId="6" xfId="0" applyFont="1" applyFill="1" applyBorder="1" applyAlignment="1" applyProtection="1">
      <alignment horizontal="right" wrapText="1"/>
      <protection locked="0"/>
    </xf>
    <xf numFmtId="167" fontId="0" fillId="2" borderId="1" xfId="10" applyNumberFormat="1" applyFont="1" applyFill="1" applyBorder="1" applyProtection="1">
      <protection locked="0"/>
    </xf>
    <xf numFmtId="49" fontId="23" fillId="0" borderId="6" xfId="0" applyNumberFormat="1" applyFont="1" applyBorder="1" applyAlignment="1" applyProtection="1">
      <alignment horizontal="right"/>
      <protection locked="0"/>
    </xf>
    <xf numFmtId="0" fontId="23" fillId="0" borderId="6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23" fillId="0" borderId="36" xfId="0" applyFont="1" applyFill="1" applyBorder="1" applyAlignment="1" applyProtection="1">
      <alignment horizontal="right"/>
      <protection locked="0"/>
    </xf>
    <xf numFmtId="0" fontId="0" fillId="2" borderId="37" xfId="0" applyFill="1" applyBorder="1" applyProtection="1"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23" fillId="0" borderId="35" xfId="0" applyFont="1" applyBorder="1" applyProtection="1">
      <protection locked="0"/>
    </xf>
    <xf numFmtId="0" fontId="23" fillId="0" borderId="6" xfId="0" applyFont="1" applyBorder="1" applyAlignment="1" applyProtection="1">
      <alignment horizontal="right"/>
      <protection locked="0"/>
    </xf>
    <xf numFmtId="0" fontId="23" fillId="0" borderId="40" xfId="0" applyFont="1" applyBorder="1" applyAlignment="1" applyProtection="1">
      <alignment horizontal="right"/>
      <protection locked="0"/>
    </xf>
    <xf numFmtId="0" fontId="0" fillId="2" borderId="33" xfId="0" applyFill="1" applyBorder="1" applyProtection="1">
      <protection locked="0"/>
    </xf>
    <xf numFmtId="0" fontId="14" fillId="10" borderId="1" xfId="5" applyFont="1" applyFill="1" applyBorder="1" applyAlignment="1" applyProtection="1">
      <alignment vertical="top"/>
    </xf>
    <xf numFmtId="43" fontId="14" fillId="10" borderId="1" xfId="8" applyFont="1" applyFill="1" applyBorder="1" applyAlignment="1" applyProtection="1">
      <alignment vertical="top"/>
    </xf>
    <xf numFmtId="0" fontId="14" fillId="10" borderId="1" xfId="5" applyFont="1" applyFill="1" applyBorder="1" applyAlignment="1" applyProtection="1">
      <alignment horizontal="right" vertical="top"/>
    </xf>
    <xf numFmtId="0" fontId="0" fillId="0" borderId="0" xfId="0" applyFill="1" applyAlignment="1" applyProtection="1"/>
    <xf numFmtId="0" fontId="5" fillId="0" borderId="0" xfId="5" applyFont="1" applyFill="1" applyBorder="1" applyAlignment="1" applyProtection="1">
      <alignment horizontal="center" vertical="top"/>
    </xf>
    <xf numFmtId="0" fontId="27" fillId="0" borderId="0" xfId="0" applyFont="1" applyFill="1" applyBorder="1" applyProtection="1">
      <protection locked="0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right"/>
    </xf>
    <xf numFmtId="0" fontId="13" fillId="2" borderId="0" xfId="5" applyFont="1" applyFill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0" borderId="10" xfId="0" applyFont="1" applyBorder="1" applyAlignment="1" applyProtection="1">
      <protection locked="0"/>
    </xf>
    <xf numFmtId="0" fontId="23" fillId="0" borderId="35" xfId="0" applyFont="1" applyBorder="1" applyAlignment="1" applyProtection="1">
      <protection locked="0"/>
    </xf>
    <xf numFmtId="0" fontId="0" fillId="0" borderId="6" xfId="0" applyBorder="1" applyProtection="1">
      <protection locked="0"/>
    </xf>
    <xf numFmtId="0" fontId="23" fillId="0" borderId="1" xfId="0" applyFont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23" fillId="0" borderId="1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6" xfId="0" applyBorder="1" applyAlignment="1" applyProtection="1">
      <protection locked="0"/>
    </xf>
    <xf numFmtId="0" fontId="23" fillId="0" borderId="1" xfId="0" applyFont="1" applyFill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24" fillId="0" borderId="1" xfId="0" applyFont="1" applyBorder="1" applyProtection="1">
      <protection locked="0"/>
    </xf>
    <xf numFmtId="0" fontId="0" fillId="0" borderId="36" xfId="0" applyBorder="1" applyProtection="1">
      <protection locked="0"/>
    </xf>
    <xf numFmtId="0" fontId="24" fillId="0" borderId="37" xfId="0" applyFont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24" fillId="0" borderId="35" xfId="0" applyFont="1" applyBorder="1" applyProtection="1">
      <protection locked="0"/>
    </xf>
    <xf numFmtId="0" fontId="23" fillId="0" borderId="38" xfId="0" applyFon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</cellXfs>
  <cellStyles count="11">
    <cellStyle name="Comma" xfId="9" builtinId="3"/>
    <cellStyle name="Comma 2" xfId="8"/>
    <cellStyle name="Comma 3" xfId="7"/>
    <cellStyle name="Comma 4" xfId="2"/>
    <cellStyle name="Currency" xfId="10" builtinId="4"/>
    <cellStyle name="Currency 2" xfId="6"/>
    <cellStyle name="Currency 3" xfId="4"/>
    <cellStyle name="Normal" xfId="0" builtinId="0"/>
    <cellStyle name="Normal 2" xfId="5"/>
    <cellStyle name="Normal 3" xfId="1"/>
    <cellStyle name="Percent 2" xfId="3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D$16" lockText="1" noThreeD="1"/>
</file>

<file path=xl/ctrlProps/ctrlProp11.xml><?xml version="1.0" encoding="utf-8"?>
<formControlPr xmlns="http://schemas.microsoft.com/office/spreadsheetml/2009/9/main" objectType="CheckBox" fmlaLink="$D$7" lockText="1" noThreeD="1"/>
</file>

<file path=xl/ctrlProps/ctrlProp12.xml><?xml version="1.0" encoding="utf-8"?>
<formControlPr xmlns="http://schemas.microsoft.com/office/spreadsheetml/2009/9/main" objectType="CheckBox" fmlaLink="$D$17" lockText="1" noThreeD="1"/>
</file>

<file path=xl/ctrlProps/ctrlProp2.xml><?xml version="1.0" encoding="utf-8"?>
<formControlPr xmlns="http://schemas.microsoft.com/office/spreadsheetml/2009/9/main" objectType="CheckBox" fmlaLink="$D$8" lockText="1" noThreeD="1"/>
</file>

<file path=xl/ctrlProps/ctrlProp3.xml><?xml version="1.0" encoding="utf-8"?>
<formControlPr xmlns="http://schemas.microsoft.com/office/spreadsheetml/2009/9/main" objectType="CheckBox" fmlaLink="$D$9" lockText="1" noThreeD="1"/>
</file>

<file path=xl/ctrlProps/ctrlProp4.xml><?xml version="1.0" encoding="utf-8"?>
<formControlPr xmlns="http://schemas.microsoft.com/office/spreadsheetml/2009/9/main" objectType="CheckBox" fmlaLink="$D$10" lockText="1" noThreeD="1"/>
</file>

<file path=xl/ctrlProps/ctrlProp5.xml><?xml version="1.0" encoding="utf-8"?>
<formControlPr xmlns="http://schemas.microsoft.com/office/spreadsheetml/2009/9/main" objectType="CheckBox" fmlaLink="$D$11" lockText="1" noThreeD="1"/>
</file>

<file path=xl/ctrlProps/ctrlProp6.xml><?xml version="1.0" encoding="utf-8"?>
<formControlPr xmlns="http://schemas.microsoft.com/office/spreadsheetml/2009/9/main" objectType="CheckBox" fmlaLink="$D$12" lockText="1" noThreeD="1"/>
</file>

<file path=xl/ctrlProps/ctrlProp7.xml><?xml version="1.0" encoding="utf-8"?>
<formControlPr xmlns="http://schemas.microsoft.com/office/spreadsheetml/2009/9/main" objectType="CheckBox" fmlaLink="$D$13" lockText="1" noThreeD="1"/>
</file>

<file path=xl/ctrlProps/ctrlProp8.xml><?xml version="1.0" encoding="utf-8"?>
<formControlPr xmlns="http://schemas.microsoft.com/office/spreadsheetml/2009/9/main" objectType="CheckBox" fmlaLink="$D$14" lockText="1" noThreeD="1"/>
</file>

<file path=xl/ctrlProps/ctrlProp9.xml><?xml version="1.0" encoding="utf-8"?>
<formControlPr xmlns="http://schemas.microsoft.com/office/spreadsheetml/2009/9/main" objectType="CheckBox" fmlaLink="$D$1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38100</xdr:rowOff>
        </xdr:from>
        <xdr:to>
          <xdr:col>2</xdr:col>
          <xdr:colOff>514350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38100</xdr:rowOff>
        </xdr:from>
        <xdr:to>
          <xdr:col>2</xdr:col>
          <xdr:colOff>514350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38100</xdr:rowOff>
        </xdr:from>
        <xdr:to>
          <xdr:col>2</xdr:col>
          <xdr:colOff>514350</xdr:colOff>
          <xdr:row>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38100</xdr:rowOff>
        </xdr:from>
        <xdr:to>
          <xdr:col>2</xdr:col>
          <xdr:colOff>514350</xdr:colOff>
          <xdr:row>10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38100</xdr:rowOff>
        </xdr:from>
        <xdr:to>
          <xdr:col>2</xdr:col>
          <xdr:colOff>514350</xdr:colOff>
          <xdr:row>11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38100</xdr:rowOff>
        </xdr:from>
        <xdr:to>
          <xdr:col>2</xdr:col>
          <xdr:colOff>514350</xdr:colOff>
          <xdr:row>12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38100</xdr:rowOff>
        </xdr:from>
        <xdr:to>
          <xdr:col>2</xdr:col>
          <xdr:colOff>514350</xdr:colOff>
          <xdr:row>13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38100</xdr:rowOff>
        </xdr:from>
        <xdr:to>
          <xdr:col>2</xdr:col>
          <xdr:colOff>514350</xdr:colOff>
          <xdr:row>14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38100</xdr:rowOff>
        </xdr:from>
        <xdr:to>
          <xdr:col>2</xdr:col>
          <xdr:colOff>514350</xdr:colOff>
          <xdr:row>15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38100</xdr:rowOff>
        </xdr:from>
        <xdr:to>
          <xdr:col>2</xdr:col>
          <xdr:colOff>514350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38100</xdr:rowOff>
        </xdr:from>
        <xdr:to>
          <xdr:col>2</xdr:col>
          <xdr:colOff>514350</xdr:colOff>
          <xdr:row>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38100</xdr:rowOff>
        </xdr:from>
        <xdr:to>
          <xdr:col>2</xdr:col>
          <xdr:colOff>514350</xdr:colOff>
          <xdr:row>17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3"/>
  <sheetViews>
    <sheetView tabSelected="1" zoomScale="90" zoomScaleNormal="90" workbookViewId="0">
      <selection activeCell="G5" sqref="G5"/>
    </sheetView>
  </sheetViews>
  <sheetFormatPr defaultRowHeight="15" x14ac:dyDescent="0.25"/>
  <cols>
    <col min="1" max="1" width="72.28515625" style="242" customWidth="1"/>
    <col min="2" max="2" width="29.140625" style="242" customWidth="1"/>
    <col min="3" max="3" width="14.42578125" style="242" bestFit="1" customWidth="1"/>
    <col min="4" max="4" width="11.42578125" style="242" hidden="1" customWidth="1"/>
    <col min="5" max="5" width="17.42578125" style="242" hidden="1" customWidth="1"/>
    <col min="6" max="6" width="38.7109375" style="242" bestFit="1" customWidth="1"/>
    <col min="7" max="7" width="10.28515625" style="242" bestFit="1" customWidth="1"/>
    <col min="8" max="8" width="12.28515625" style="242" bestFit="1" customWidth="1"/>
    <col min="9" max="9" width="14.140625" style="272" customWidth="1"/>
    <col min="10" max="10" width="40.7109375" style="242" customWidth="1"/>
    <col min="11" max="11" width="10.85546875" style="242" customWidth="1"/>
    <col min="12" max="12" width="13.5703125" style="242" customWidth="1"/>
    <col min="13" max="16384" width="9.140625" style="242"/>
  </cols>
  <sheetData>
    <row r="1" spans="1:19" x14ac:dyDescent="0.25">
      <c r="A1" s="304" t="s">
        <v>210</v>
      </c>
      <c r="B1" s="305" t="s">
        <v>249</v>
      </c>
      <c r="C1" s="271"/>
      <c r="F1" s="260" t="s">
        <v>206</v>
      </c>
      <c r="G1" s="261" t="s">
        <v>205</v>
      </c>
      <c r="H1" s="262" t="s">
        <v>223</v>
      </c>
      <c r="M1" s="255"/>
      <c r="N1" s="255"/>
      <c r="O1" s="255"/>
      <c r="P1" s="255"/>
      <c r="Q1" s="255"/>
      <c r="R1" s="255"/>
      <c r="S1" s="255"/>
    </row>
    <row r="2" spans="1:19" ht="20.100000000000001" customHeight="1" x14ac:dyDescent="0.25">
      <c r="A2" s="306" t="s">
        <v>285</v>
      </c>
      <c r="B2" s="307" t="s">
        <v>221</v>
      </c>
      <c r="C2" s="243">
        <v>1</v>
      </c>
      <c r="F2" s="259" t="s">
        <v>155</v>
      </c>
      <c r="G2" s="263">
        <f>((400*MAX(C4,C18)))*IF(D19="TRUE",2,1)*C3</f>
        <v>400</v>
      </c>
      <c r="H2" s="264">
        <f>((C2*MAX(C4,C18)))*IF(D19="TRUE",2,1)*C3</f>
        <v>1</v>
      </c>
      <c r="M2" s="255"/>
      <c r="N2" s="255"/>
      <c r="O2" s="255"/>
      <c r="P2" s="255"/>
      <c r="Q2" s="255"/>
      <c r="R2" s="255"/>
      <c r="S2" s="255"/>
    </row>
    <row r="3" spans="1:19" ht="20.100000000000001" customHeight="1" x14ac:dyDescent="0.25">
      <c r="A3" s="306" t="s">
        <v>228</v>
      </c>
      <c r="B3" s="307" t="s">
        <v>204</v>
      </c>
      <c r="C3" s="244">
        <v>1</v>
      </c>
      <c r="F3" s="259" t="s">
        <v>203</v>
      </c>
      <c r="G3" s="265">
        <v>10</v>
      </c>
      <c r="H3" s="264">
        <f>ROUND(H2/C20/C3,0)</f>
        <v>1</v>
      </c>
      <c r="M3" s="255"/>
      <c r="N3" s="255"/>
      <c r="O3" s="255"/>
      <c r="P3" s="255"/>
      <c r="Q3" s="255"/>
      <c r="R3" s="255"/>
      <c r="S3" s="255"/>
    </row>
    <row r="4" spans="1:19" ht="20.100000000000001" customHeight="1" x14ac:dyDescent="0.25">
      <c r="A4" s="306" t="s">
        <v>243</v>
      </c>
      <c r="B4" s="307" t="s">
        <v>201</v>
      </c>
      <c r="C4" s="244">
        <v>1</v>
      </c>
      <c r="F4" s="259" t="s">
        <v>202</v>
      </c>
      <c r="G4" s="263">
        <v>4</v>
      </c>
      <c r="H4" s="264">
        <f>C21+C22</f>
        <v>3</v>
      </c>
      <c r="M4" s="255"/>
      <c r="N4" s="255"/>
      <c r="O4" s="255"/>
      <c r="P4" s="255"/>
      <c r="Q4" s="255"/>
      <c r="R4" s="255"/>
      <c r="S4" s="255"/>
    </row>
    <row r="5" spans="1:19" ht="21" customHeight="1" x14ac:dyDescent="0.25">
      <c r="A5" s="308" t="s">
        <v>244</v>
      </c>
      <c r="B5" s="309" t="s">
        <v>245</v>
      </c>
      <c r="C5" s="244">
        <v>1</v>
      </c>
      <c r="E5" s="255"/>
      <c r="F5" s="259" t="s">
        <v>207</v>
      </c>
      <c r="G5" s="263">
        <f>ROUNDUP((G7/G9/G8/G4),0)</f>
        <v>4</v>
      </c>
      <c r="H5" s="264">
        <f>C23</f>
        <v>1</v>
      </c>
      <c r="I5" s="273"/>
      <c r="M5" s="255"/>
      <c r="N5" s="255"/>
      <c r="O5" s="255"/>
      <c r="P5" s="255"/>
      <c r="Q5" s="255"/>
      <c r="R5" s="255"/>
      <c r="S5" s="255"/>
    </row>
    <row r="6" spans="1:19" ht="20.100000000000001" customHeight="1" x14ac:dyDescent="0.25">
      <c r="A6" s="306" t="s">
        <v>246</v>
      </c>
      <c r="B6" s="309" t="s">
        <v>199</v>
      </c>
      <c r="C6" s="245"/>
      <c r="D6" s="256">
        <f>COUNTIF(D7:D17,"TRUE")</f>
        <v>0</v>
      </c>
      <c r="E6" s="257"/>
      <c r="F6" s="259" t="s">
        <v>229</v>
      </c>
      <c r="G6" s="200">
        <f>G4*G5</f>
        <v>16</v>
      </c>
      <c r="H6" s="266">
        <f>H4*H5</f>
        <v>3</v>
      </c>
      <c r="I6" s="273"/>
      <c r="M6" s="255"/>
      <c r="N6" s="255"/>
      <c r="O6" s="255"/>
      <c r="P6" s="255"/>
      <c r="Q6" s="255"/>
      <c r="R6" s="255"/>
      <c r="S6" s="255"/>
    </row>
    <row r="7" spans="1:19" ht="20.100000000000001" customHeight="1" x14ac:dyDescent="0.25">
      <c r="A7" s="306"/>
      <c r="B7" s="310" t="s">
        <v>279</v>
      </c>
      <c r="C7" s="246"/>
      <c r="D7" s="256" t="b">
        <v>0</v>
      </c>
      <c r="E7" s="257"/>
      <c r="F7" s="259" t="s">
        <v>230</v>
      </c>
      <c r="G7" s="200">
        <f>G2*C5</f>
        <v>400</v>
      </c>
      <c r="H7" s="266">
        <f>H2*C5</f>
        <v>1</v>
      </c>
      <c r="I7" s="273"/>
      <c r="M7" s="255"/>
      <c r="N7" s="255"/>
      <c r="O7" s="255"/>
      <c r="P7" s="255"/>
      <c r="Q7" s="255"/>
      <c r="R7" s="255"/>
      <c r="S7" s="255"/>
    </row>
    <row r="8" spans="1:19" ht="19.5" customHeight="1" x14ac:dyDescent="0.25">
      <c r="A8" s="306"/>
      <c r="B8" s="310" t="s">
        <v>195</v>
      </c>
      <c r="C8" s="246"/>
      <c r="D8" s="256" t="b">
        <v>0</v>
      </c>
      <c r="E8" s="257"/>
      <c r="F8" s="259" t="s">
        <v>163</v>
      </c>
      <c r="G8" s="263">
        <f>ROUNDUP(G7/G10/3,0)</f>
        <v>4</v>
      </c>
      <c r="H8" s="264">
        <f>ROUNDUP(H7/H6/H9,0)</f>
        <v>1</v>
      </c>
      <c r="I8" s="274"/>
      <c r="J8" s="258"/>
      <c r="M8" s="255"/>
      <c r="N8" s="255"/>
      <c r="O8" s="255"/>
      <c r="P8" s="255"/>
      <c r="Q8" s="255"/>
      <c r="R8" s="255"/>
      <c r="S8" s="255"/>
    </row>
    <row r="9" spans="1:19" ht="20.100000000000001" customHeight="1" x14ac:dyDescent="0.25">
      <c r="A9" s="306"/>
      <c r="B9" s="310" t="s">
        <v>274</v>
      </c>
      <c r="C9" s="246"/>
      <c r="D9" s="256" t="b">
        <v>0</v>
      </c>
      <c r="E9" s="257"/>
      <c r="F9" s="259" t="s">
        <v>200</v>
      </c>
      <c r="G9" s="263">
        <f>IF(AND($C$5=1,$D$6&lt;=5),8,IF(AND($C$5=1,$D$6&gt;=6,$D$6&lt;=8),6,IF(AND($C$5=1,$D$6&gt;=9),5,IF(AND($C$5=2,$D$6&lt;=5),5,IF(AND($C$5=2,$D$6&gt;5,$D$6&lt;9),4,IF(AND($C$5=2,$D$6&gt;8),3,IF(AND($C$5=3,$D$6&gt;8),2,3)))))))</f>
        <v>8</v>
      </c>
      <c r="H9" s="264">
        <f>IF(AND($C$5=1,$D$6&lt;=5),8,IF(AND($C$5=1,$D$6&gt;=6,$D$6&lt;=8),6,IF(AND($C$5=1,$D$6&gt;=9),5,IF(AND($C$5=2,$D$6&lt;=5),5,IF(AND($C$5=2,$D$6&gt;5,$D$6&lt;9),4,IF(AND($C$5=2,$D$6&gt;8),3,IF(AND($C$5=3,$D$6&gt;8),2,3)))))))</f>
        <v>8</v>
      </c>
      <c r="I9" s="274"/>
      <c r="J9" s="258"/>
      <c r="M9" s="255"/>
      <c r="N9" s="255"/>
      <c r="O9" s="255"/>
      <c r="P9" s="255"/>
      <c r="Q9" s="255"/>
      <c r="R9" s="255"/>
      <c r="S9" s="255"/>
    </row>
    <row r="10" spans="1:19" ht="20.100000000000001" customHeight="1" thickBot="1" x14ac:dyDescent="0.3">
      <c r="A10" s="306"/>
      <c r="B10" s="310" t="s">
        <v>275</v>
      </c>
      <c r="C10" s="246"/>
      <c r="D10" s="256" t="b">
        <v>0</v>
      </c>
      <c r="E10" s="257"/>
      <c r="F10" s="267" t="s">
        <v>198</v>
      </c>
      <c r="G10" s="268">
        <f>ROUNDUP((G2/G3)/C3,0)</f>
        <v>40</v>
      </c>
      <c r="H10" s="269">
        <f>C20</f>
        <v>1</v>
      </c>
      <c r="I10" s="274"/>
      <c r="J10" s="258"/>
      <c r="M10" s="255"/>
      <c r="N10" s="255"/>
      <c r="O10" s="255"/>
      <c r="P10" s="255"/>
      <c r="Q10" s="255"/>
      <c r="R10" s="255"/>
      <c r="S10" s="255"/>
    </row>
    <row r="11" spans="1:19" ht="20.100000000000001" customHeight="1" x14ac:dyDescent="0.25">
      <c r="A11" s="306"/>
      <c r="B11" s="310" t="s">
        <v>197</v>
      </c>
      <c r="C11" s="246"/>
      <c r="D11" s="256" t="b">
        <v>0</v>
      </c>
      <c r="E11" s="257"/>
      <c r="F11" s="194" t="s">
        <v>286</v>
      </c>
      <c r="G11" s="194"/>
      <c r="H11" s="270">
        <f>'ODC Costs and Breakdown'!F70+((B25*C25)+(B26*C26)+(B27*C27)+(B28*C28)+(B29*C29)+(B30*C30)+(B31*C31)+(B32*C32)+(B33*C33)+(B35*C35)+(B36*C36)+(B37*C37)+(B38*C38))</f>
        <v>31334.2</v>
      </c>
      <c r="I11" s="274"/>
      <c r="M11" s="255"/>
      <c r="N11" s="255"/>
      <c r="O11" s="255"/>
      <c r="P11" s="255"/>
      <c r="Q11" s="255"/>
      <c r="R11" s="255"/>
      <c r="S11" s="255"/>
    </row>
    <row r="12" spans="1:19" ht="20.100000000000001" customHeight="1" x14ac:dyDescent="0.25">
      <c r="A12" s="306"/>
      <c r="B12" s="310" t="s">
        <v>276</v>
      </c>
      <c r="C12" s="246"/>
      <c r="D12" s="256" t="b">
        <v>0</v>
      </c>
      <c r="E12" s="256"/>
      <c r="F12" s="194" t="s">
        <v>224</v>
      </c>
      <c r="G12" s="321">
        <v>1</v>
      </c>
      <c r="H12" s="270"/>
      <c r="I12" s="273"/>
      <c r="M12" s="255"/>
      <c r="N12" s="255"/>
      <c r="O12" s="255"/>
      <c r="P12" s="255"/>
      <c r="Q12" s="255"/>
      <c r="R12" s="255"/>
      <c r="S12" s="255"/>
    </row>
    <row r="13" spans="1:19" ht="20.100000000000001" customHeight="1" x14ac:dyDescent="0.25">
      <c r="A13" s="306"/>
      <c r="B13" s="310" t="s">
        <v>277</v>
      </c>
      <c r="C13" s="246"/>
      <c r="D13" s="256" t="b">
        <v>0</v>
      </c>
      <c r="E13" s="256"/>
      <c r="F13" s="194" t="s">
        <v>287</v>
      </c>
      <c r="G13" s="194"/>
      <c r="H13" s="270">
        <f>'ODC Costs and Breakdown'!E70+((B25*C25)+(B26*C26)+(B27*C27)+(B28*C28)+(B29*C29)+(B30*C30)+(B31*C31)+(B32*C32)+(B33*C33)+(B35*C35)+(B36*C36)+(B37*C37)+(B38*C38))</f>
        <v>31334.2</v>
      </c>
      <c r="I13" s="273"/>
      <c r="M13" s="255"/>
      <c r="N13" s="255"/>
      <c r="O13" s="255"/>
      <c r="P13" s="255"/>
      <c r="Q13" s="255"/>
      <c r="R13" s="255"/>
      <c r="S13" s="255"/>
    </row>
    <row r="14" spans="1:19" ht="20.100000000000001" customHeight="1" x14ac:dyDescent="0.25">
      <c r="A14" s="306"/>
      <c r="B14" s="310" t="s">
        <v>278</v>
      </c>
      <c r="C14" s="246"/>
      <c r="D14" s="256" t="b">
        <v>0</v>
      </c>
      <c r="E14" s="256"/>
      <c r="F14" s="295"/>
      <c r="G14" s="295"/>
      <c r="H14" s="295"/>
      <c r="I14" s="276"/>
      <c r="M14" s="255"/>
      <c r="N14" s="255"/>
      <c r="O14" s="255"/>
      <c r="P14" s="255"/>
      <c r="Q14" s="255"/>
      <c r="R14" s="255"/>
      <c r="S14" s="255"/>
    </row>
    <row r="15" spans="1:19" ht="20.100000000000001" customHeight="1" x14ac:dyDescent="0.25">
      <c r="A15" s="306"/>
      <c r="B15" s="310" t="s">
        <v>196</v>
      </c>
      <c r="C15" s="246"/>
      <c r="D15" s="256" t="b">
        <v>0</v>
      </c>
      <c r="E15" s="256"/>
      <c r="F15" s="276"/>
      <c r="G15" s="276"/>
      <c r="H15" s="276"/>
      <c r="I15" s="276"/>
      <c r="J15" s="255"/>
      <c r="K15" s="255"/>
      <c r="L15" s="275"/>
      <c r="M15" s="255"/>
      <c r="N15" s="255"/>
      <c r="O15" s="255"/>
      <c r="P15" s="255"/>
      <c r="Q15" s="255"/>
      <c r="R15" s="255"/>
      <c r="S15" s="255"/>
    </row>
    <row r="16" spans="1:19" ht="20.100000000000001" customHeight="1" x14ac:dyDescent="0.25">
      <c r="A16" s="306"/>
      <c r="B16" s="311" t="s">
        <v>288</v>
      </c>
      <c r="C16" s="246"/>
      <c r="D16" s="256" t="b">
        <v>0</v>
      </c>
      <c r="E16" s="256"/>
      <c r="F16" s="276"/>
      <c r="G16" s="276"/>
      <c r="H16" s="276"/>
      <c r="I16" s="276"/>
      <c r="J16" s="255"/>
      <c r="K16" s="255"/>
      <c r="L16" s="255"/>
      <c r="M16" s="255"/>
      <c r="N16" s="255"/>
      <c r="O16" s="255"/>
      <c r="P16" s="255"/>
      <c r="Q16" s="255"/>
      <c r="R16" s="255"/>
      <c r="S16" s="255"/>
    </row>
    <row r="17" spans="1:20" ht="20.100000000000001" customHeight="1" x14ac:dyDescent="0.25">
      <c r="A17" s="306"/>
      <c r="B17" s="310" t="s">
        <v>289</v>
      </c>
      <c r="C17" s="246"/>
      <c r="D17" s="256" t="b">
        <v>0</v>
      </c>
      <c r="E17" s="256"/>
      <c r="F17" s="276"/>
      <c r="G17" s="276"/>
      <c r="H17" s="276"/>
      <c r="I17" s="276"/>
      <c r="J17" s="255"/>
      <c r="K17" s="255"/>
      <c r="L17" s="255"/>
      <c r="M17" s="255"/>
      <c r="N17" s="255"/>
      <c r="O17" s="255"/>
      <c r="P17" s="255"/>
      <c r="Q17" s="255"/>
      <c r="R17" s="255"/>
      <c r="S17" s="255"/>
    </row>
    <row r="18" spans="1:20" ht="36.75" customHeight="1" x14ac:dyDescent="0.25">
      <c r="A18" s="312" t="s">
        <v>247</v>
      </c>
      <c r="B18" s="313" t="s">
        <v>248</v>
      </c>
      <c r="C18" s="244">
        <v>1</v>
      </c>
      <c r="E18" s="256"/>
      <c r="F18" s="297"/>
      <c r="G18" s="278"/>
      <c r="H18" s="278"/>
      <c r="I18" s="273"/>
      <c r="M18" s="255"/>
      <c r="N18" s="255"/>
      <c r="O18" s="255"/>
      <c r="P18" s="255"/>
      <c r="Q18" s="255"/>
      <c r="R18" s="255"/>
      <c r="S18" s="255"/>
    </row>
    <row r="19" spans="1:20" ht="30" customHeight="1" x14ac:dyDescent="0.25">
      <c r="A19" s="314" t="s">
        <v>269</v>
      </c>
      <c r="B19" s="307" t="s">
        <v>208</v>
      </c>
      <c r="C19" s="244" t="s">
        <v>226</v>
      </c>
      <c r="D19" s="256" t="str">
        <f>IF(C19="YES","TRUE","FALSE")</f>
        <v>FALSE</v>
      </c>
      <c r="E19" s="256"/>
      <c r="F19" s="277"/>
      <c r="G19" s="278"/>
      <c r="H19" s="278"/>
      <c r="I19" s="273"/>
      <c r="M19" s="255"/>
      <c r="N19" s="255"/>
      <c r="O19" s="255"/>
      <c r="P19" s="255"/>
      <c r="Q19" s="255"/>
      <c r="R19" s="255"/>
    </row>
    <row r="20" spans="1:20" ht="20.100000000000001" customHeight="1" x14ac:dyDescent="0.25">
      <c r="A20" s="306" t="s">
        <v>268</v>
      </c>
      <c r="B20" s="307" t="s">
        <v>194</v>
      </c>
      <c r="C20" s="243">
        <v>1</v>
      </c>
      <c r="E20" s="256"/>
      <c r="F20" s="277"/>
      <c r="G20" s="278"/>
      <c r="H20" s="278"/>
      <c r="I20" s="273"/>
      <c r="M20" s="255"/>
      <c r="N20" s="255"/>
      <c r="O20" s="255"/>
      <c r="P20" s="255"/>
      <c r="Q20" s="255"/>
      <c r="R20" s="255"/>
    </row>
    <row r="21" spans="1:20" ht="21" customHeight="1" x14ac:dyDescent="0.25">
      <c r="A21" s="306" t="s">
        <v>270</v>
      </c>
      <c r="B21" s="315" t="s">
        <v>193</v>
      </c>
      <c r="C21" s="243">
        <v>2</v>
      </c>
      <c r="D21" s="256"/>
      <c r="E21" s="256"/>
      <c r="F21" s="277"/>
      <c r="G21" s="278"/>
      <c r="H21" s="278"/>
      <c r="I21" s="273"/>
      <c r="M21" s="255"/>
      <c r="N21" s="255"/>
      <c r="O21" s="255"/>
      <c r="P21" s="255"/>
      <c r="Q21" s="255"/>
      <c r="R21" s="255"/>
    </row>
    <row r="22" spans="1:20" ht="20.100000000000001" customHeight="1" x14ac:dyDescent="0.25">
      <c r="A22" s="306"/>
      <c r="B22" s="315" t="s">
        <v>192</v>
      </c>
      <c r="C22" s="243">
        <v>1</v>
      </c>
      <c r="D22" s="256"/>
      <c r="E22" s="256"/>
      <c r="F22" s="277"/>
      <c r="G22" s="278"/>
      <c r="H22" s="278"/>
      <c r="I22" s="273"/>
      <c r="M22" s="255"/>
      <c r="N22" s="255"/>
      <c r="O22" s="255"/>
      <c r="P22" s="255"/>
      <c r="Q22" s="255"/>
      <c r="R22" s="255"/>
    </row>
    <row r="23" spans="1:20" ht="20.100000000000001" customHeight="1" thickBot="1" x14ac:dyDescent="0.3">
      <c r="A23" s="316" t="s">
        <v>271</v>
      </c>
      <c r="B23" s="317" t="s">
        <v>191</v>
      </c>
      <c r="C23" s="247">
        <v>1</v>
      </c>
      <c r="D23" s="256"/>
      <c r="E23" s="256"/>
      <c r="F23" s="277"/>
      <c r="G23" s="278"/>
      <c r="H23" s="278"/>
      <c r="I23" s="273"/>
      <c r="M23" s="255"/>
      <c r="N23" s="255"/>
      <c r="O23" s="255"/>
      <c r="P23" s="255"/>
      <c r="Q23" s="255"/>
      <c r="R23" s="255"/>
    </row>
    <row r="24" spans="1:20" ht="32.25" customHeight="1" x14ac:dyDescent="0.25">
      <c r="A24" s="318" t="s">
        <v>272</v>
      </c>
      <c r="B24" s="319" t="s">
        <v>258</v>
      </c>
      <c r="C24" s="248" t="s">
        <v>240</v>
      </c>
      <c r="E24" s="256"/>
      <c r="F24" s="277"/>
      <c r="G24" s="278"/>
      <c r="H24" s="278"/>
      <c r="I24" s="273"/>
      <c r="M24" s="255"/>
      <c r="N24" s="255"/>
      <c r="O24" s="255"/>
      <c r="P24" s="255"/>
      <c r="Q24" s="255"/>
      <c r="R24" s="255"/>
    </row>
    <row r="25" spans="1:20" x14ac:dyDescent="0.25">
      <c r="A25" s="320" t="s">
        <v>239</v>
      </c>
      <c r="B25" s="279"/>
      <c r="C25" s="249"/>
      <c r="E25" s="256"/>
      <c r="F25" s="277"/>
      <c r="G25" s="278"/>
      <c r="H25" s="278"/>
      <c r="I25" s="273"/>
      <c r="M25" s="255"/>
      <c r="N25" s="255"/>
      <c r="O25" s="255"/>
      <c r="P25" s="255"/>
      <c r="Q25" s="255"/>
      <c r="R25" s="255"/>
    </row>
    <row r="26" spans="1:20" ht="20.100000000000001" customHeight="1" x14ac:dyDescent="0.25">
      <c r="A26" s="280" t="s">
        <v>241</v>
      </c>
      <c r="B26" s="281"/>
      <c r="C26" s="250"/>
      <c r="D26" s="256"/>
      <c r="E26" s="256"/>
      <c r="F26" s="277"/>
      <c r="G26" s="277"/>
      <c r="H26" s="277"/>
      <c r="M26" s="255"/>
      <c r="N26" s="255"/>
      <c r="O26" s="255"/>
      <c r="P26" s="255"/>
      <c r="Q26" s="255"/>
      <c r="R26" s="255"/>
    </row>
    <row r="27" spans="1:20" ht="20.100000000000001" customHeight="1" x14ac:dyDescent="0.25">
      <c r="A27" s="282" t="s">
        <v>235</v>
      </c>
      <c r="B27" s="281"/>
      <c r="C27" s="250"/>
      <c r="M27" s="255"/>
      <c r="N27" s="255"/>
      <c r="O27" s="255"/>
      <c r="P27" s="255"/>
      <c r="Q27" s="255"/>
      <c r="R27" s="255"/>
      <c r="S27" s="255"/>
      <c r="T27" s="255"/>
    </row>
    <row r="28" spans="1:20" ht="20.100000000000001" customHeight="1" x14ac:dyDescent="0.25">
      <c r="A28" s="283" t="s">
        <v>236</v>
      </c>
      <c r="B28" s="281"/>
      <c r="C28" s="250"/>
      <c r="M28" s="255"/>
      <c r="N28" s="255"/>
      <c r="O28" s="255"/>
      <c r="P28" s="255"/>
      <c r="Q28" s="255"/>
      <c r="R28" s="255"/>
      <c r="S28" s="255"/>
      <c r="T28" s="255"/>
    </row>
    <row r="29" spans="1:20" ht="20.100000000000001" customHeight="1" x14ac:dyDescent="0.25">
      <c r="A29" s="283" t="s">
        <v>242</v>
      </c>
      <c r="B29" s="281"/>
      <c r="C29" s="250"/>
      <c r="K29" s="255"/>
      <c r="L29" s="255"/>
      <c r="M29" s="255"/>
      <c r="N29" s="255"/>
      <c r="O29" s="255"/>
      <c r="P29" s="255"/>
      <c r="Q29" s="255"/>
      <c r="R29" s="255"/>
      <c r="S29" s="255"/>
      <c r="T29" s="255"/>
    </row>
    <row r="30" spans="1:20" ht="20.100000000000001" customHeight="1" x14ac:dyDescent="0.25">
      <c r="A30" s="283" t="s">
        <v>237</v>
      </c>
      <c r="B30" s="281"/>
      <c r="C30" s="250"/>
      <c r="K30" s="255"/>
      <c r="L30" s="255"/>
      <c r="M30" s="255"/>
      <c r="N30" s="255"/>
      <c r="O30" s="255"/>
      <c r="P30" s="255"/>
      <c r="Q30" s="255"/>
      <c r="R30" s="255"/>
      <c r="S30" s="255"/>
      <c r="T30" s="255"/>
    </row>
    <row r="31" spans="1:20" ht="20.100000000000001" customHeight="1" x14ac:dyDescent="0.25">
      <c r="A31" s="283" t="s">
        <v>238</v>
      </c>
      <c r="B31" s="281"/>
      <c r="C31" s="250"/>
      <c r="K31" s="255"/>
      <c r="L31" s="255"/>
      <c r="M31" s="255"/>
      <c r="N31" s="255"/>
      <c r="O31" s="255"/>
      <c r="P31" s="255"/>
      <c r="Q31" s="255"/>
      <c r="R31" s="255"/>
      <c r="S31" s="255"/>
      <c r="T31" s="255"/>
    </row>
    <row r="32" spans="1:20" ht="20.100000000000001" customHeight="1" x14ac:dyDescent="0.25">
      <c r="A32" s="283" t="s">
        <v>250</v>
      </c>
      <c r="B32" s="284"/>
      <c r="C32" s="250"/>
      <c r="D32" s="258"/>
      <c r="K32" s="255"/>
      <c r="L32" s="255"/>
      <c r="M32" s="255"/>
      <c r="N32" s="255"/>
      <c r="O32" s="255"/>
      <c r="P32" s="255"/>
      <c r="Q32" s="255"/>
      <c r="R32" s="255"/>
      <c r="S32" s="255"/>
      <c r="T32" s="255"/>
    </row>
    <row r="33" spans="1:20" ht="20.100000000000001" customHeight="1" thickBot="1" x14ac:dyDescent="0.3">
      <c r="A33" s="285" t="s">
        <v>251</v>
      </c>
      <c r="B33" s="286"/>
      <c r="C33" s="251"/>
      <c r="D33" s="258"/>
      <c r="K33" s="255"/>
      <c r="L33" s="255"/>
      <c r="M33" s="255"/>
      <c r="N33" s="255"/>
      <c r="O33" s="255"/>
      <c r="P33" s="255"/>
      <c r="Q33" s="255"/>
      <c r="R33" s="255"/>
      <c r="S33" s="255"/>
      <c r="T33" s="255"/>
    </row>
    <row r="34" spans="1:20" ht="20.100000000000001" customHeight="1" x14ac:dyDescent="0.25">
      <c r="A34" s="287" t="s">
        <v>273</v>
      </c>
      <c r="B34" s="288" t="s">
        <v>257</v>
      </c>
      <c r="C34" s="252" t="s">
        <v>260</v>
      </c>
      <c r="K34" s="255"/>
      <c r="L34" s="255"/>
      <c r="M34" s="255"/>
      <c r="N34" s="255"/>
      <c r="O34" s="255"/>
      <c r="P34" s="255"/>
      <c r="Q34" s="255"/>
      <c r="R34" s="255"/>
      <c r="S34" s="255"/>
      <c r="T34" s="255"/>
    </row>
    <row r="35" spans="1:20" ht="20.100000000000001" customHeight="1" x14ac:dyDescent="0.25">
      <c r="A35" s="289" t="s">
        <v>52</v>
      </c>
      <c r="B35" s="284"/>
      <c r="C35" s="253"/>
      <c r="K35" s="255"/>
      <c r="L35" s="255"/>
      <c r="M35" s="255"/>
      <c r="N35" s="255"/>
      <c r="O35" s="255"/>
      <c r="P35" s="255"/>
      <c r="Q35" s="255"/>
      <c r="R35" s="255"/>
      <c r="S35" s="255"/>
      <c r="T35" s="255"/>
    </row>
    <row r="36" spans="1:20" ht="20.100000000000001" customHeight="1" x14ac:dyDescent="0.25">
      <c r="A36" s="283" t="s">
        <v>255</v>
      </c>
      <c r="B36" s="284"/>
      <c r="C36" s="253"/>
      <c r="K36" s="255"/>
      <c r="L36" s="255"/>
      <c r="M36" s="255"/>
      <c r="N36" s="255"/>
      <c r="O36" s="255"/>
      <c r="P36" s="255"/>
      <c r="Q36" s="255"/>
      <c r="R36" s="255"/>
      <c r="S36" s="255"/>
      <c r="T36" s="255"/>
    </row>
    <row r="37" spans="1:20" ht="20.100000000000001" customHeight="1" x14ac:dyDescent="0.25">
      <c r="A37" s="283" t="s">
        <v>256</v>
      </c>
      <c r="B37" s="284"/>
      <c r="C37" s="253"/>
      <c r="K37" s="255"/>
      <c r="L37" s="255"/>
      <c r="M37" s="255"/>
      <c r="N37" s="255"/>
      <c r="O37" s="255"/>
      <c r="P37" s="255"/>
      <c r="Q37" s="255"/>
      <c r="R37" s="255"/>
      <c r="S37" s="255"/>
      <c r="T37" s="255"/>
    </row>
    <row r="38" spans="1:20" ht="20.100000000000001" customHeight="1" thickBot="1" x14ac:dyDescent="0.3">
      <c r="A38" s="290" t="s">
        <v>250</v>
      </c>
      <c r="B38" s="291"/>
      <c r="C38" s="254"/>
      <c r="I38" s="273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</row>
    <row r="39" spans="1:20" ht="20.100000000000001" customHeight="1" x14ac:dyDescent="0.25">
      <c r="I39" s="273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</row>
    <row r="40" spans="1:20" ht="20.100000000000001" customHeight="1" x14ac:dyDescent="0.25">
      <c r="A40" s="242" t="s">
        <v>211</v>
      </c>
    </row>
    <row r="41" spans="1:20" x14ac:dyDescent="0.25">
      <c r="A41" s="242" t="s">
        <v>212</v>
      </c>
    </row>
    <row r="42" spans="1:20" x14ac:dyDescent="0.25">
      <c r="A42" s="242" t="s">
        <v>213</v>
      </c>
    </row>
    <row r="43" spans="1:20" x14ac:dyDescent="0.25">
      <c r="A43" s="242" t="s">
        <v>280</v>
      </c>
    </row>
  </sheetData>
  <sheetProtection algorithmName="SHA-512" hashValue="G/bsFS/YWSMldEP7hC2kE3cdgM9J1OPbQbDDpmwO5XzKSkdT9Vi1aYQZzH1CBO/QpV0E9+rxjh3rP67T6Kunsw==" saltValue="fX9L4iWZMtffPeWpc33gIQ==" spinCount="100000" sheet="1" objects="1" scenarios="1"/>
  <conditionalFormatting sqref="B18">
    <cfRule type="expression" dxfId="7" priority="8">
      <formula>(#REF!=TRUE)</formula>
    </cfRule>
  </conditionalFormatting>
  <conditionalFormatting sqref="B5">
    <cfRule type="cellIs" dxfId="6" priority="5" operator="equal">
      <formula>TRUE</formula>
    </cfRule>
    <cfRule type="cellIs" dxfId="5" priority="6" operator="greaterThan">
      <formula>#REF!=TRUE</formula>
    </cfRule>
  </conditionalFormatting>
  <conditionalFormatting sqref="C7">
    <cfRule type="cellIs" dxfId="4" priority="4" operator="greaterThanOrEqual">
      <formula>0</formula>
    </cfRule>
  </conditionalFormatting>
  <conditionalFormatting sqref="C7:C17">
    <cfRule type="expression" dxfId="3" priority="9">
      <formula>#REF!&lt;1</formula>
    </cfRule>
    <cfRule type="expression" dxfId="2" priority="10">
      <formula>IF+#REF!=TEXT</formula>
    </cfRule>
    <cfRule type="notContainsBlanks" dxfId="1" priority="11">
      <formula>LEN(TRIM(C7))&gt;0</formula>
    </cfRule>
  </conditionalFormatting>
  <conditionalFormatting sqref="D5:E5">
    <cfRule type="expression" dxfId="0" priority="12">
      <formula>$D$5=1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38100</xdr:rowOff>
                  </from>
                  <to>
                    <xdr:col>2</xdr:col>
                    <xdr:colOff>514350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38100</xdr:rowOff>
                  </from>
                  <to>
                    <xdr:col>2</xdr:col>
                    <xdr:colOff>514350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38100</xdr:rowOff>
                  </from>
                  <to>
                    <xdr:col>2</xdr:col>
                    <xdr:colOff>514350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38100</xdr:rowOff>
                  </from>
                  <to>
                    <xdr:col>2</xdr:col>
                    <xdr:colOff>514350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38100</xdr:rowOff>
                  </from>
                  <to>
                    <xdr:col>2</xdr:col>
                    <xdr:colOff>514350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38100</xdr:rowOff>
                  </from>
                  <to>
                    <xdr:col>2</xdr:col>
                    <xdr:colOff>514350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38100</xdr:rowOff>
                  </from>
                  <to>
                    <xdr:col>2</xdr:col>
                    <xdr:colOff>514350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38100</xdr:rowOff>
                  </from>
                  <to>
                    <xdr:col>2</xdr:col>
                    <xdr:colOff>514350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38100</xdr:rowOff>
                  </from>
                  <to>
                    <xdr:col>2</xdr:col>
                    <xdr:colOff>514350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38100</xdr:rowOff>
                  </from>
                  <to>
                    <xdr:col>2</xdr:col>
                    <xdr:colOff>514350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38100</xdr:rowOff>
                  </from>
                  <to>
                    <xdr:col>2</xdr:col>
                    <xdr:colOff>514350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38100</xdr:rowOff>
                  </from>
                  <to>
                    <xdr:col>2</xdr:col>
                    <xdr:colOff>514350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'Numbers sheet'!$B$2:$B$4</xm:f>
          </x14:formula1>
          <xm:sqref>C3</xm:sqref>
        </x14:dataValidation>
        <x14:dataValidation type="list" allowBlank="1" showInputMessage="1" showErrorMessage="1">
          <x14:formula1>
            <xm:f>'Numbers sheet'!$B$6:$B$8</xm:f>
          </x14:formula1>
          <xm:sqref>C5</xm:sqref>
        </x14:dataValidation>
        <x14:dataValidation type="list" allowBlank="1" showInputMessage="1" showErrorMessage="1">
          <x14:formula1>
            <xm:f>'Numbers sheet'!$B$11:$B$25</xm:f>
          </x14:formula1>
          <xm:sqref>C18 C4</xm:sqref>
        </x14:dataValidation>
        <x14:dataValidation type="list" allowBlank="1" showInputMessage="1" showErrorMessage="1">
          <x14:formula1>
            <xm:f>'Numbers sheet'!$B$27:$B$28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WhiteSpace="0" topLeftCell="A25" zoomScale="110" zoomScaleNormal="110" zoomScaleSheetLayoutView="100" workbookViewId="0">
      <selection activeCell="B39" sqref="B39"/>
    </sheetView>
  </sheetViews>
  <sheetFormatPr defaultRowHeight="11.25" x14ac:dyDescent="0.2"/>
  <cols>
    <col min="1" max="1" width="36.28515625" style="1" customWidth="1"/>
    <col min="2" max="2" width="8.28515625" style="1" customWidth="1"/>
    <col min="3" max="3" width="42.5703125" style="1" customWidth="1"/>
    <col min="4" max="5" width="9.140625" style="1"/>
    <col min="6" max="6" width="25.7109375" style="1" customWidth="1"/>
    <col min="7" max="7" width="9.42578125" style="1" customWidth="1"/>
    <col min="8" max="8" width="37.7109375" style="1" customWidth="1"/>
    <col min="9" max="16384" width="9.140625" style="1"/>
  </cols>
  <sheetData>
    <row r="1" spans="1:12" ht="12" thickBot="1" x14ac:dyDescent="0.25">
      <c r="A1" s="41" t="s">
        <v>283</v>
      </c>
      <c r="B1" s="42"/>
      <c r="C1" s="43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">
      <c r="A2" s="25" t="s">
        <v>12</v>
      </c>
      <c r="B2" s="14"/>
      <c r="C2" s="2" t="s">
        <v>0</v>
      </c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2">
      <c r="A3" s="15" t="s">
        <v>13</v>
      </c>
      <c r="B3" s="54">
        <v>150</v>
      </c>
      <c r="C3" s="16"/>
      <c r="D3" s="40"/>
      <c r="E3" s="40"/>
      <c r="F3" s="40"/>
      <c r="G3" s="40"/>
      <c r="H3" s="40"/>
      <c r="I3" s="40"/>
      <c r="J3" s="40"/>
      <c r="K3" s="40"/>
      <c r="L3" s="40"/>
    </row>
    <row r="4" spans="1:12" x14ac:dyDescent="0.2">
      <c r="A4" s="15" t="s">
        <v>14</v>
      </c>
      <c r="B4" s="50">
        <v>10</v>
      </c>
      <c r="C4" s="17"/>
      <c r="D4" s="40"/>
      <c r="E4" s="40"/>
      <c r="F4" s="57"/>
      <c r="G4" s="57"/>
      <c r="H4" s="57"/>
      <c r="I4" s="57"/>
      <c r="J4" s="57"/>
      <c r="K4" s="40"/>
      <c r="L4" s="40"/>
    </row>
    <row r="5" spans="1:12" x14ac:dyDescent="0.2">
      <c r="A5" s="15" t="s">
        <v>15</v>
      </c>
      <c r="B5" s="50">
        <f>(B3/B4)</f>
        <v>15</v>
      </c>
      <c r="C5" s="18"/>
      <c r="D5" s="40"/>
      <c r="E5" s="40"/>
      <c r="F5" s="57"/>
      <c r="G5" s="57"/>
      <c r="H5" s="57"/>
      <c r="I5" s="57"/>
      <c r="J5" s="57"/>
      <c r="K5" s="40"/>
      <c r="L5" s="40"/>
    </row>
    <row r="6" spans="1:12" ht="15" x14ac:dyDescent="0.25">
      <c r="A6" s="15" t="s">
        <v>16</v>
      </c>
      <c r="B6" s="50">
        <v>4</v>
      </c>
      <c r="C6" s="18"/>
      <c r="D6" s="40"/>
      <c r="E6" s="40"/>
      <c r="F6" s="59"/>
      <c r="G6" s="59"/>
      <c r="H6" s="298"/>
      <c r="I6" s="299"/>
      <c r="J6" s="57"/>
      <c r="K6" s="40"/>
      <c r="L6" s="40"/>
    </row>
    <row r="7" spans="1:12" ht="15" x14ac:dyDescent="0.25">
      <c r="A7" s="15" t="s">
        <v>17</v>
      </c>
      <c r="B7" s="54">
        <v>5</v>
      </c>
      <c r="C7" s="16"/>
      <c r="D7" s="40"/>
      <c r="E7" s="40"/>
      <c r="F7" s="59"/>
      <c r="G7" s="59"/>
      <c r="H7" s="298"/>
      <c r="I7" s="299"/>
      <c r="J7" s="57"/>
      <c r="K7" s="40"/>
      <c r="L7" s="40"/>
    </row>
    <row r="8" spans="1:12" ht="15.75" thickBot="1" x14ac:dyDescent="0.3">
      <c r="A8" s="47" t="s">
        <v>18</v>
      </c>
      <c r="B8" s="55">
        <f>B4/B7</f>
        <v>2</v>
      </c>
      <c r="C8" s="19"/>
      <c r="D8" s="40"/>
      <c r="E8" s="40"/>
      <c r="F8" s="59"/>
      <c r="G8" s="59"/>
      <c r="H8" s="298"/>
      <c r="I8" s="299"/>
      <c r="J8" s="57"/>
      <c r="K8" s="40"/>
      <c r="L8" s="40"/>
    </row>
    <row r="9" spans="1:12" ht="15" x14ac:dyDescent="0.25">
      <c r="A9" s="84" t="s">
        <v>50</v>
      </c>
      <c r="B9" s="85"/>
      <c r="C9" s="86" t="s">
        <v>0</v>
      </c>
      <c r="D9" s="40"/>
      <c r="E9" s="40"/>
      <c r="F9" s="59"/>
      <c r="G9" s="59"/>
      <c r="H9" s="298"/>
      <c r="I9" s="299"/>
      <c r="J9" s="57"/>
      <c r="K9" s="40"/>
      <c r="L9" s="40"/>
    </row>
    <row r="10" spans="1:12" ht="15" x14ac:dyDescent="0.25">
      <c r="A10" s="3" t="s">
        <v>209</v>
      </c>
      <c r="B10" s="4">
        <f>'Instructions and Inputs'!C2</f>
        <v>1</v>
      </c>
      <c r="C10" s="5"/>
      <c r="D10" s="40"/>
      <c r="E10" s="40"/>
      <c r="F10" s="59"/>
      <c r="G10" s="59"/>
      <c r="H10" s="59"/>
      <c r="I10" s="59"/>
      <c r="J10" s="57"/>
      <c r="K10" s="40"/>
      <c r="L10" s="40"/>
    </row>
    <row r="11" spans="1:12" ht="15" x14ac:dyDescent="0.25">
      <c r="A11" s="3" t="s">
        <v>222</v>
      </c>
      <c r="B11" s="4">
        <f>'Instructions and Inputs'!C3</f>
        <v>1</v>
      </c>
      <c r="C11" s="5"/>
      <c r="D11" s="40"/>
      <c r="E11" s="40"/>
      <c r="F11" s="59"/>
      <c r="G11" s="59"/>
      <c r="H11" s="60"/>
      <c r="I11" s="60"/>
      <c r="J11" s="57"/>
      <c r="K11" s="40"/>
      <c r="L11" s="40"/>
    </row>
    <row r="12" spans="1:12" ht="15" x14ac:dyDescent="0.25">
      <c r="A12" s="7" t="s">
        <v>2</v>
      </c>
      <c r="B12" s="66">
        <f>'Instructions and Inputs'!C5</f>
        <v>1</v>
      </c>
      <c r="C12" s="5"/>
      <c r="D12" s="40"/>
      <c r="E12" s="40"/>
      <c r="F12" s="59"/>
      <c r="G12" s="59"/>
      <c r="H12" s="60"/>
      <c r="I12" s="61"/>
      <c r="J12" s="57"/>
      <c r="K12" s="40"/>
      <c r="L12" s="40"/>
    </row>
    <row r="13" spans="1:12" ht="15" x14ac:dyDescent="0.25">
      <c r="A13" s="3" t="s">
        <v>1</v>
      </c>
      <c r="B13" s="48">
        <f>'Instructions and Inputs'!H2</f>
        <v>1</v>
      </c>
      <c r="C13" s="6"/>
      <c r="D13" s="40"/>
      <c r="E13" s="40"/>
      <c r="F13" s="59"/>
      <c r="G13" s="59"/>
      <c r="H13" s="59"/>
      <c r="I13" s="62"/>
      <c r="J13" s="57"/>
      <c r="K13" s="40"/>
      <c r="L13" s="40"/>
    </row>
    <row r="14" spans="1:12" ht="22.5" x14ac:dyDescent="0.2">
      <c r="A14" s="7" t="s">
        <v>51</v>
      </c>
      <c r="B14" s="49">
        <f>(ROUNDUP('Instructions and Inputs'!H8,0))</f>
        <v>1</v>
      </c>
      <c r="C14" s="8" t="s">
        <v>11</v>
      </c>
      <c r="D14" s="40"/>
      <c r="E14" s="40"/>
      <c r="F14" s="57"/>
      <c r="G14" s="57"/>
      <c r="H14" s="57"/>
      <c r="I14" s="57"/>
      <c r="J14" s="57"/>
      <c r="K14" s="40"/>
      <c r="L14" s="40"/>
    </row>
    <row r="15" spans="1:12" x14ac:dyDescent="0.2">
      <c r="A15" s="3" t="s">
        <v>19</v>
      </c>
      <c r="B15" s="4">
        <f>B13*B12</f>
        <v>1</v>
      </c>
      <c r="C15" s="8"/>
      <c r="D15" s="40"/>
      <c r="E15" s="40"/>
      <c r="F15" s="40"/>
      <c r="G15" s="40"/>
      <c r="H15" s="40"/>
      <c r="I15" s="40"/>
      <c r="J15" s="40"/>
      <c r="K15" s="40"/>
      <c r="L15" s="40"/>
    </row>
    <row r="16" spans="1:12" x14ac:dyDescent="0.2">
      <c r="A16" s="9" t="s">
        <v>3</v>
      </c>
      <c r="B16" s="4">
        <f>'Instructions and Inputs'!H10</f>
        <v>1</v>
      </c>
      <c r="C16" s="5"/>
      <c r="D16" s="40"/>
      <c r="E16" s="40"/>
      <c r="F16" s="40"/>
      <c r="G16" s="40"/>
      <c r="H16" s="40"/>
      <c r="I16" s="40"/>
      <c r="J16" s="40"/>
      <c r="K16" s="40"/>
      <c r="L16" s="40"/>
    </row>
    <row r="17" spans="1:12" x14ac:dyDescent="0.2">
      <c r="A17" s="10" t="s">
        <v>4</v>
      </c>
      <c r="B17" s="76">
        <f>'Instructions and Inputs'!H3</f>
        <v>1</v>
      </c>
      <c r="C17" s="5"/>
      <c r="D17" s="40"/>
      <c r="E17" s="40"/>
      <c r="F17" s="40"/>
      <c r="G17" s="40"/>
      <c r="H17" s="40"/>
      <c r="I17" s="40"/>
      <c r="J17" s="40"/>
      <c r="K17" s="40"/>
      <c r="L17" s="40"/>
    </row>
    <row r="18" spans="1:12" x14ac:dyDescent="0.2">
      <c r="A18" s="10" t="s">
        <v>5</v>
      </c>
      <c r="B18" s="11">
        <f>'Instructions and Inputs'!H3*'Instructions and Inputs'!C3</f>
        <v>1</v>
      </c>
      <c r="C18" s="5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33.75" x14ac:dyDescent="0.2">
      <c r="A19" s="10" t="s">
        <v>6</v>
      </c>
      <c r="B19" s="11">
        <f>'Instructions and Inputs'!C21</f>
        <v>2</v>
      </c>
      <c r="C19" s="12" t="s">
        <v>49</v>
      </c>
      <c r="D19" s="40"/>
      <c r="E19" s="40"/>
      <c r="F19" s="40"/>
      <c r="G19" s="40"/>
      <c r="H19" s="40"/>
      <c r="I19" s="40"/>
      <c r="J19" s="40"/>
      <c r="K19" s="40"/>
      <c r="L19" s="40"/>
    </row>
    <row r="20" spans="1:12" x14ac:dyDescent="0.2">
      <c r="A20" s="10" t="s">
        <v>7</v>
      </c>
      <c r="B20" s="11">
        <f>'Instructions and Inputs'!C22</f>
        <v>1</v>
      </c>
      <c r="C20" s="5"/>
      <c r="D20" s="40"/>
      <c r="E20" s="40"/>
      <c r="F20" s="40"/>
      <c r="G20" s="40"/>
      <c r="H20" s="40"/>
      <c r="I20" s="40"/>
      <c r="J20" s="40"/>
      <c r="K20" s="40"/>
      <c r="L20" s="40"/>
    </row>
    <row r="21" spans="1:12" x14ac:dyDescent="0.2">
      <c r="A21" s="9" t="s">
        <v>8</v>
      </c>
      <c r="B21" s="13">
        <f>B19+B20</f>
        <v>3</v>
      </c>
      <c r="C21" s="5"/>
      <c r="D21" s="40"/>
      <c r="E21" s="40"/>
      <c r="F21" s="40"/>
      <c r="G21" s="40"/>
      <c r="H21" s="40"/>
      <c r="I21" s="40"/>
      <c r="J21" s="40"/>
      <c r="K21" s="40"/>
      <c r="L21" s="40"/>
    </row>
    <row r="22" spans="1:12" x14ac:dyDescent="0.2">
      <c r="A22" s="9" t="s">
        <v>9</v>
      </c>
      <c r="B22" s="4">
        <f>'Instructions and Inputs'!H5</f>
        <v>1</v>
      </c>
      <c r="C22" s="5"/>
      <c r="D22" s="40"/>
      <c r="E22" s="40"/>
      <c r="F22" s="40"/>
      <c r="G22" s="40"/>
      <c r="H22" s="40"/>
      <c r="I22" s="40"/>
      <c r="J22" s="40"/>
      <c r="K22" s="40"/>
      <c r="L22" s="40"/>
    </row>
    <row r="23" spans="1:12" x14ac:dyDescent="0.2">
      <c r="A23" s="39" t="s">
        <v>10</v>
      </c>
      <c r="B23" s="38">
        <f>'Instructions and Inputs'!H9</f>
        <v>8</v>
      </c>
      <c r="C23" s="5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2" thickBot="1" x14ac:dyDescent="0.25">
      <c r="A24" s="44" t="s">
        <v>259</v>
      </c>
      <c r="B24" s="45"/>
      <c r="C24" s="46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2" thickBot="1" x14ac:dyDescent="0.25">
      <c r="A25" s="83" t="s">
        <v>20</v>
      </c>
      <c r="B25" s="81" t="s">
        <v>21</v>
      </c>
      <c r="C25" s="82" t="s">
        <v>0</v>
      </c>
      <c r="D25" s="40"/>
      <c r="E25" s="40"/>
      <c r="F25" s="40"/>
      <c r="G25" s="40"/>
      <c r="H25" s="40"/>
      <c r="I25" s="40"/>
      <c r="J25" s="40"/>
      <c r="K25" s="40"/>
      <c r="L25" s="40"/>
    </row>
    <row r="26" spans="1:12" x14ac:dyDescent="0.2">
      <c r="A26" s="35" t="s">
        <v>22</v>
      </c>
      <c r="B26" s="36">
        <v>500</v>
      </c>
      <c r="C26" s="37" t="s">
        <v>26</v>
      </c>
      <c r="D26" s="40"/>
      <c r="E26" s="40"/>
      <c r="F26" s="40"/>
      <c r="G26" s="40"/>
      <c r="H26" s="40"/>
      <c r="I26" s="40"/>
      <c r="J26" s="40"/>
      <c r="K26" s="40"/>
      <c r="L26" s="40"/>
    </row>
    <row r="27" spans="1:12" x14ac:dyDescent="0.2">
      <c r="A27" s="15" t="s">
        <v>23</v>
      </c>
      <c r="B27" s="20">
        <v>8</v>
      </c>
      <c r="C27" s="26" t="s">
        <v>24</v>
      </c>
      <c r="D27" s="40"/>
      <c r="E27" s="40"/>
      <c r="F27" s="40"/>
      <c r="G27" s="40"/>
      <c r="H27" s="40"/>
      <c r="I27" s="40"/>
      <c r="J27" s="40"/>
      <c r="K27" s="40"/>
      <c r="L27" s="40"/>
    </row>
    <row r="28" spans="1:12" x14ac:dyDescent="0.2">
      <c r="A28" s="15" t="s">
        <v>25</v>
      </c>
      <c r="B28" s="20">
        <v>40</v>
      </c>
      <c r="C28" s="26" t="s">
        <v>26</v>
      </c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2">
      <c r="A29" s="15" t="s">
        <v>27</v>
      </c>
      <c r="B29" s="20">
        <v>65</v>
      </c>
      <c r="C29" s="26" t="s">
        <v>26</v>
      </c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2">
      <c r="A30" s="27" t="s">
        <v>28</v>
      </c>
      <c r="B30" s="20">
        <v>100</v>
      </c>
      <c r="C30" s="28" t="s">
        <v>152</v>
      </c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2">
      <c r="A31" s="27" t="s">
        <v>29</v>
      </c>
      <c r="B31" s="20">
        <v>150</v>
      </c>
      <c r="C31" s="28" t="s">
        <v>233</v>
      </c>
      <c r="D31" s="40"/>
      <c r="E31" s="40"/>
      <c r="F31" s="40"/>
      <c r="G31" s="40"/>
      <c r="H31" s="40"/>
      <c r="I31" s="40"/>
      <c r="J31" s="40"/>
      <c r="K31" s="40"/>
      <c r="L31" s="40"/>
    </row>
    <row r="32" spans="1:12" x14ac:dyDescent="0.2">
      <c r="A32" s="27" t="s">
        <v>189</v>
      </c>
      <c r="B32" s="20">
        <v>30</v>
      </c>
      <c r="C32" s="28" t="s">
        <v>190</v>
      </c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2" thickBot="1" x14ac:dyDescent="0.25">
      <c r="A33" s="29" t="s">
        <v>171</v>
      </c>
      <c r="B33" s="21">
        <v>50</v>
      </c>
      <c r="C33" s="28" t="s">
        <v>30</v>
      </c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" thickBot="1" x14ac:dyDescent="0.25">
      <c r="A34" s="80" t="s">
        <v>31</v>
      </c>
      <c r="B34" s="81" t="s">
        <v>21</v>
      </c>
      <c r="C34" s="82" t="s">
        <v>0</v>
      </c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2">
      <c r="A35" s="77" t="s">
        <v>32</v>
      </c>
      <c r="B35" s="78">
        <v>0.3</v>
      </c>
      <c r="C35" s="79" t="s">
        <v>33</v>
      </c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2">
      <c r="A36" s="30" t="s">
        <v>254</v>
      </c>
      <c r="B36" s="22">
        <v>10</v>
      </c>
      <c r="C36" s="16"/>
      <c r="D36" s="40"/>
      <c r="E36" s="40"/>
      <c r="F36" s="40"/>
      <c r="G36" s="40"/>
      <c r="H36" s="40"/>
      <c r="I36" s="40"/>
      <c r="J36" s="40"/>
      <c r="K36" s="40"/>
      <c r="L36" s="40"/>
    </row>
    <row r="37" spans="1:12" x14ac:dyDescent="0.2">
      <c r="A37" s="30" t="s">
        <v>35</v>
      </c>
      <c r="B37" s="22">
        <v>7</v>
      </c>
      <c r="C37" s="16"/>
      <c r="D37" s="40"/>
      <c r="E37" s="40"/>
      <c r="F37" s="40"/>
      <c r="G37" s="40"/>
      <c r="H37" s="40"/>
      <c r="I37" s="40"/>
      <c r="J37" s="40"/>
      <c r="K37" s="40"/>
      <c r="L37" s="40"/>
    </row>
    <row r="38" spans="1:12" x14ac:dyDescent="0.2">
      <c r="A38" s="15" t="s">
        <v>36</v>
      </c>
      <c r="B38" s="23">
        <v>3</v>
      </c>
      <c r="C38" s="16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2">
      <c r="A39" s="15" t="s">
        <v>37</v>
      </c>
      <c r="B39" s="24">
        <v>1</v>
      </c>
      <c r="C39" s="16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">
      <c r="A40" s="15" t="s">
        <v>252</v>
      </c>
      <c r="B40" s="23">
        <v>0.2</v>
      </c>
      <c r="C40" s="16"/>
      <c r="D40" s="40"/>
      <c r="E40" s="40"/>
      <c r="F40" s="40"/>
      <c r="G40" s="40"/>
      <c r="H40" s="40"/>
      <c r="I40" s="40"/>
      <c r="J40" s="40"/>
      <c r="K40" s="40"/>
      <c r="L40" s="40"/>
    </row>
    <row r="41" spans="1:12" x14ac:dyDescent="0.2">
      <c r="A41" s="15" t="s">
        <v>253</v>
      </c>
      <c r="B41" s="23">
        <v>0.5</v>
      </c>
      <c r="C41" s="16"/>
      <c r="D41" s="40"/>
      <c r="E41" s="40"/>
      <c r="F41" s="40"/>
      <c r="G41" s="40"/>
      <c r="H41" s="40"/>
      <c r="I41" s="40"/>
      <c r="J41" s="40"/>
      <c r="K41" s="40"/>
      <c r="L41" s="40"/>
    </row>
    <row r="42" spans="1:12" x14ac:dyDescent="0.2">
      <c r="A42" s="15" t="s">
        <v>40</v>
      </c>
      <c r="B42" s="24">
        <v>6</v>
      </c>
      <c r="C42" s="16"/>
      <c r="D42" s="40"/>
      <c r="E42" s="40"/>
      <c r="F42" s="40"/>
      <c r="G42" s="40"/>
      <c r="H42" s="40"/>
      <c r="I42" s="40"/>
      <c r="J42" s="40"/>
      <c r="K42" s="40"/>
      <c r="L42" s="40"/>
    </row>
    <row r="43" spans="1:12" x14ac:dyDescent="0.2">
      <c r="A43" s="31" t="s">
        <v>42</v>
      </c>
      <c r="B43" s="24">
        <v>2</v>
      </c>
      <c r="C43" s="16"/>
      <c r="D43" s="40"/>
      <c r="E43" s="40"/>
      <c r="F43" s="40"/>
      <c r="G43" s="40"/>
      <c r="H43" s="40"/>
      <c r="I43" s="40"/>
      <c r="J43" s="40"/>
      <c r="K43" s="40"/>
      <c r="L43" s="40"/>
    </row>
    <row r="44" spans="1:12" x14ac:dyDescent="0.2">
      <c r="A44" s="15" t="s">
        <v>44</v>
      </c>
      <c r="B44" s="24">
        <v>10</v>
      </c>
      <c r="C44" s="16"/>
      <c r="D44" s="40"/>
      <c r="E44" s="40"/>
      <c r="F44" s="40"/>
      <c r="G44" s="40"/>
      <c r="H44" s="40"/>
      <c r="I44" s="40"/>
      <c r="J44" s="40"/>
      <c r="K44" s="40"/>
      <c r="L44" s="40"/>
    </row>
    <row r="45" spans="1:12" x14ac:dyDescent="0.2">
      <c r="A45" s="15" t="s">
        <v>45</v>
      </c>
      <c r="B45" s="24">
        <v>1</v>
      </c>
      <c r="C45" s="16"/>
      <c r="D45" s="40"/>
      <c r="E45" s="40"/>
      <c r="F45" s="40"/>
      <c r="G45" s="40"/>
      <c r="H45" s="40"/>
      <c r="I45" s="40"/>
      <c r="J45" s="40"/>
      <c r="K45" s="40"/>
      <c r="L45" s="40"/>
    </row>
    <row r="46" spans="1:12" x14ac:dyDescent="0.2">
      <c r="A46" s="15" t="s">
        <v>166</v>
      </c>
      <c r="B46" s="24">
        <v>300</v>
      </c>
      <c r="C46" s="16"/>
      <c r="D46" s="40"/>
      <c r="E46" s="40"/>
      <c r="F46" s="40"/>
      <c r="G46" s="40"/>
      <c r="H46" s="40"/>
      <c r="I46" s="40"/>
      <c r="J46" s="40"/>
      <c r="K46" s="40"/>
      <c r="L46" s="40"/>
    </row>
    <row r="47" spans="1:12" x14ac:dyDescent="0.2">
      <c r="A47" s="15" t="s">
        <v>167</v>
      </c>
      <c r="B47" s="24">
        <v>35</v>
      </c>
      <c r="C47" s="16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">
      <c r="A48" s="15" t="s">
        <v>168</v>
      </c>
      <c r="B48" s="24">
        <v>15</v>
      </c>
      <c r="C48" s="16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2">
      <c r="A49" s="15" t="s">
        <v>187</v>
      </c>
      <c r="B49" s="24">
        <v>40</v>
      </c>
      <c r="C49" s="16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2" thickBot="1" x14ac:dyDescent="0.25">
      <c r="A50" s="32" t="s">
        <v>234</v>
      </c>
      <c r="B50" s="33">
        <v>10</v>
      </c>
      <c r="C50" s="34" t="s">
        <v>47</v>
      </c>
      <c r="D50" s="40"/>
      <c r="E50" s="40"/>
      <c r="F50" s="40"/>
      <c r="G50" s="40"/>
      <c r="H50" s="40"/>
      <c r="I50" s="40"/>
      <c r="J50" s="40"/>
      <c r="K50" s="40"/>
      <c r="L50" s="40"/>
    </row>
    <row r="51" spans="1:12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x14ac:dyDescent="0.2">
      <c r="A53" s="57"/>
      <c r="B53" s="57"/>
      <c r="C53" s="57"/>
      <c r="D53" s="40"/>
      <c r="E53" s="40"/>
      <c r="F53" s="40"/>
      <c r="G53" s="40"/>
      <c r="H53" s="40"/>
      <c r="I53" s="40"/>
      <c r="J53" s="40"/>
      <c r="K53" s="40"/>
      <c r="L53" s="40"/>
    </row>
    <row r="54" spans="1:12" x14ac:dyDescent="0.2">
      <c r="A54" s="57"/>
      <c r="B54" s="57"/>
      <c r="C54" s="57"/>
      <c r="D54" s="40"/>
      <c r="E54" s="40"/>
      <c r="F54" s="40"/>
      <c r="G54" s="40"/>
      <c r="H54" s="40"/>
      <c r="I54" s="40"/>
      <c r="J54" s="40"/>
      <c r="K54" s="40"/>
      <c r="L54" s="40"/>
    </row>
    <row r="55" spans="1:12" x14ac:dyDescent="0.2">
      <c r="A55" s="57"/>
      <c r="B55" s="57"/>
      <c r="C55" s="57"/>
      <c r="D55" s="40"/>
      <c r="E55" s="40"/>
      <c r="F55" s="40"/>
      <c r="G55" s="40"/>
      <c r="H55" s="40"/>
      <c r="I55" s="40"/>
      <c r="J55" s="40"/>
      <c r="K55" s="40"/>
      <c r="L55" s="40"/>
    </row>
    <row r="56" spans="1:12" x14ac:dyDescent="0.2">
      <c r="A56" s="57"/>
      <c r="B56" s="57"/>
      <c r="C56" s="57"/>
      <c r="D56" s="40"/>
      <c r="E56" s="40"/>
      <c r="F56" s="40"/>
      <c r="G56" s="40"/>
      <c r="H56" s="40"/>
      <c r="I56" s="40"/>
      <c r="J56" s="40"/>
      <c r="K56" s="40"/>
      <c r="L56" s="40"/>
    </row>
    <row r="57" spans="1:12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1:12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x14ac:dyDescent="0.2"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x14ac:dyDescent="0.2">
      <c r="D181" s="40"/>
      <c r="E181" s="40"/>
      <c r="F181" s="40"/>
      <c r="G181" s="40"/>
      <c r="H181" s="40"/>
      <c r="I181" s="40"/>
      <c r="J181" s="40"/>
      <c r="K181" s="40"/>
      <c r="L181" s="40"/>
    </row>
  </sheetData>
  <mergeCells count="2">
    <mergeCell ref="H6:H9"/>
    <mergeCell ref="I6:I9"/>
  </mergeCells>
  <pageMargins left="0.7" right="0.7" top="0.75" bottom="0.75" header="0.3" footer="0.3"/>
  <pageSetup orientation="portrait" r:id="rId1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zoomScale="90" zoomScaleNormal="90" workbookViewId="0">
      <selection activeCell="E6" sqref="E6"/>
    </sheetView>
  </sheetViews>
  <sheetFormatPr defaultRowHeight="15" x14ac:dyDescent="0.25"/>
  <cols>
    <col min="1" max="1" width="25.140625" style="87" customWidth="1"/>
    <col min="2" max="4" width="9.140625" style="87"/>
    <col min="5" max="5" width="22.140625" style="87" bestFit="1" customWidth="1"/>
    <col min="6" max="6" width="12.85546875" style="87" bestFit="1" customWidth="1"/>
    <col min="7" max="7" width="26.28515625" style="87" customWidth="1"/>
    <col min="8" max="9" width="9.140625" style="87"/>
    <col min="10" max="10" width="23.140625" style="87" bestFit="1" customWidth="1"/>
    <col min="11" max="11" width="9.140625" style="87"/>
    <col min="12" max="12" width="8.85546875" style="87" bestFit="1" customWidth="1"/>
    <col min="13" max="13" width="16.28515625" style="87" bestFit="1" customWidth="1"/>
    <col min="14" max="14" width="10.140625" style="87" bestFit="1" customWidth="1"/>
    <col min="15" max="15" width="14" style="87" bestFit="1" customWidth="1"/>
    <col min="16" max="18" width="9.140625" style="87"/>
    <col min="19" max="19" width="13" style="87" customWidth="1"/>
    <col min="20" max="16384" width="9.140625" style="87"/>
  </cols>
  <sheetData>
    <row r="1" spans="1:19" x14ac:dyDescent="0.25">
      <c r="A1" s="300" t="s">
        <v>267</v>
      </c>
      <c r="B1" s="300"/>
      <c r="C1" s="300"/>
      <c r="D1" s="300"/>
      <c r="E1" s="300"/>
      <c r="F1" s="300"/>
      <c r="G1" s="300"/>
    </row>
    <row r="2" spans="1:19" ht="15.75" thickBot="1" x14ac:dyDescent="0.3">
      <c r="A2" s="88"/>
      <c r="B2" s="88"/>
      <c r="C2" s="88"/>
      <c r="D2" s="88"/>
      <c r="E2" s="88"/>
      <c r="F2" s="88"/>
      <c r="G2" s="88"/>
    </row>
    <row r="3" spans="1:19" ht="15.75" thickBot="1" x14ac:dyDescent="0.3">
      <c r="A3" s="89" t="s">
        <v>84</v>
      </c>
      <c r="B3" s="90"/>
      <c r="C3" s="90"/>
      <c r="D3" s="90"/>
      <c r="E3" s="91" t="s">
        <v>85</v>
      </c>
      <c r="F3" s="92">
        <f>'Instructions and Inputs'!G12</f>
        <v>1</v>
      </c>
      <c r="G3" s="93" t="s">
        <v>86</v>
      </c>
    </row>
    <row r="4" spans="1:19" x14ac:dyDescent="0.25">
      <c r="A4" s="94"/>
      <c r="B4" s="94"/>
      <c r="C4" s="95"/>
      <c r="D4" s="96"/>
      <c r="E4" s="97"/>
      <c r="F4" s="96"/>
      <c r="G4" s="96"/>
    </row>
    <row r="5" spans="1:19" x14ac:dyDescent="0.25">
      <c r="A5" s="94" t="s">
        <v>87</v>
      </c>
      <c r="B5" s="90"/>
      <c r="C5" s="98"/>
      <c r="D5" s="99"/>
      <c r="E5" s="100"/>
      <c r="F5" s="101"/>
      <c r="G5" s="102"/>
      <c r="H5" s="101"/>
      <c r="I5" s="101"/>
      <c r="J5" s="101"/>
      <c r="K5" s="101"/>
      <c r="L5" s="101"/>
      <c r="M5" s="101"/>
      <c r="N5" s="101"/>
      <c r="O5" s="101"/>
      <c r="P5" s="102"/>
      <c r="Q5" s="103"/>
      <c r="R5" s="101"/>
      <c r="S5" s="101"/>
    </row>
    <row r="6" spans="1:19" x14ac:dyDescent="0.25">
      <c r="A6" s="104" t="s">
        <v>172</v>
      </c>
      <c r="B6" s="94"/>
      <c r="C6" s="95"/>
      <c r="D6" s="96"/>
      <c r="E6" s="105"/>
      <c r="F6" s="105"/>
      <c r="G6" s="106"/>
      <c r="H6" s="301"/>
      <c r="I6" s="301"/>
      <c r="J6" s="301"/>
      <c r="K6" s="301"/>
      <c r="L6" s="301"/>
      <c r="M6" s="301"/>
      <c r="N6" s="301"/>
      <c r="O6" s="301"/>
      <c r="P6" s="106"/>
      <c r="Q6" s="107"/>
      <c r="R6" s="105"/>
      <c r="S6" s="105"/>
    </row>
    <row r="7" spans="1:19" x14ac:dyDescent="0.25">
      <c r="A7" s="104" t="s">
        <v>174</v>
      </c>
      <c r="B7" s="94"/>
      <c r="C7" s="95"/>
      <c r="D7" s="96"/>
      <c r="E7" s="108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8"/>
      <c r="Q7" s="110"/>
      <c r="R7" s="110"/>
      <c r="S7" s="108"/>
    </row>
    <row r="8" spans="1:19" x14ac:dyDescent="0.25">
      <c r="A8" s="104" t="s">
        <v>88</v>
      </c>
      <c r="B8" s="94"/>
      <c r="C8" s="95"/>
      <c r="D8" s="96"/>
      <c r="E8" s="111"/>
      <c r="F8" s="105"/>
      <c r="G8" s="106"/>
      <c r="H8" s="105"/>
      <c r="I8" s="105"/>
      <c r="J8" s="105"/>
      <c r="K8" s="105"/>
      <c r="L8" s="105"/>
      <c r="M8" s="105"/>
      <c r="N8" s="105"/>
      <c r="O8" s="241"/>
      <c r="P8" s="112"/>
      <c r="Q8" s="113"/>
      <c r="R8" s="107"/>
      <c r="S8" s="105"/>
    </row>
    <row r="9" spans="1:19" x14ac:dyDescent="0.25">
      <c r="A9" s="104" t="s">
        <v>173</v>
      </c>
      <c r="B9" s="94"/>
      <c r="C9" s="95"/>
      <c r="D9" s="96"/>
      <c r="E9" s="111"/>
      <c r="F9" s="105"/>
      <c r="G9" s="106"/>
      <c r="H9" s="105"/>
      <c r="I9" s="105"/>
      <c r="J9" s="105"/>
      <c r="K9" s="105"/>
      <c r="L9" s="105"/>
      <c r="M9" s="105"/>
      <c r="N9" s="105"/>
      <c r="O9" s="241"/>
      <c r="P9" s="112"/>
      <c r="Q9" s="113"/>
      <c r="R9" s="107"/>
      <c r="S9" s="105"/>
    </row>
    <row r="10" spans="1:19" x14ac:dyDescent="0.25">
      <c r="A10" s="104" t="s">
        <v>175</v>
      </c>
      <c r="B10" s="94"/>
      <c r="C10" s="95"/>
      <c r="D10" s="96"/>
      <c r="E10" s="111"/>
      <c r="F10" s="105"/>
      <c r="G10" s="106"/>
      <c r="H10" s="105"/>
      <c r="I10" s="105"/>
      <c r="J10" s="105"/>
      <c r="K10" s="105"/>
      <c r="L10" s="105"/>
      <c r="M10" s="105"/>
      <c r="N10" s="105"/>
      <c r="O10" s="241"/>
      <c r="P10" s="114"/>
      <c r="Q10" s="113"/>
      <c r="R10" s="107"/>
      <c r="S10" s="105"/>
    </row>
    <row r="11" spans="1:19" x14ac:dyDescent="0.25">
      <c r="A11" s="104" t="s">
        <v>176</v>
      </c>
      <c r="B11" s="94"/>
      <c r="C11" s="95"/>
      <c r="D11" s="96"/>
      <c r="E11" s="115"/>
      <c r="F11" s="105"/>
      <c r="G11" s="106"/>
      <c r="H11" s="105"/>
      <c r="I11" s="105"/>
      <c r="J11" s="105"/>
      <c r="K11" s="105"/>
      <c r="L11" s="105"/>
      <c r="M11" s="105"/>
      <c r="N11" s="105"/>
      <c r="O11" s="296"/>
      <c r="P11" s="114"/>
      <c r="Q11" s="113"/>
      <c r="R11" s="107"/>
      <c r="S11" s="105"/>
    </row>
    <row r="12" spans="1:19" x14ac:dyDescent="0.25">
      <c r="A12" s="104" t="s">
        <v>177</v>
      </c>
      <c r="B12" s="94"/>
      <c r="C12" s="95"/>
      <c r="D12" s="96"/>
      <c r="E12" s="115"/>
      <c r="F12" s="105"/>
      <c r="G12" s="106"/>
      <c r="H12" s="105"/>
      <c r="I12" s="105"/>
      <c r="J12" s="105"/>
      <c r="K12" s="105"/>
      <c r="L12" s="105"/>
      <c r="M12" s="105"/>
      <c r="N12" s="105"/>
      <c r="O12" s="296"/>
      <c r="P12" s="114"/>
      <c r="Q12" s="113"/>
      <c r="R12" s="107"/>
      <c r="S12" s="105"/>
    </row>
    <row r="13" spans="1:19" x14ac:dyDescent="0.25">
      <c r="A13" s="104"/>
      <c r="B13" s="94"/>
      <c r="C13" s="95"/>
      <c r="D13" s="96"/>
      <c r="E13" s="116"/>
      <c r="F13" s="117"/>
      <c r="G13" s="118"/>
      <c r="H13" s="117"/>
      <c r="I13" s="117"/>
      <c r="J13" s="117"/>
      <c r="K13" s="117"/>
      <c r="L13" s="117"/>
      <c r="M13" s="117"/>
      <c r="N13" s="117"/>
      <c r="O13" s="117"/>
      <c r="P13" s="119"/>
      <c r="Q13" s="120"/>
      <c r="R13" s="120"/>
      <c r="S13" s="117"/>
    </row>
    <row r="14" spans="1:19" x14ac:dyDescent="0.25">
      <c r="A14" s="94"/>
      <c r="B14" s="94"/>
      <c r="C14" s="95"/>
      <c r="D14" s="96"/>
      <c r="E14" s="97"/>
      <c r="F14" s="96"/>
      <c r="G14" s="96"/>
    </row>
    <row r="15" spans="1:19" ht="22.5" x14ac:dyDescent="0.25">
      <c r="A15" s="121" t="s">
        <v>261</v>
      </c>
      <c r="B15" s="122"/>
      <c r="C15" s="123"/>
      <c r="D15" s="122"/>
      <c r="E15" s="124"/>
      <c r="F15" s="122"/>
      <c r="G15" s="122"/>
      <c r="J15" s="125" t="s">
        <v>52</v>
      </c>
      <c r="K15" s="125" t="s">
        <v>53</v>
      </c>
      <c r="L15" s="125" t="s">
        <v>54</v>
      </c>
      <c r="M15" s="126" t="s">
        <v>55</v>
      </c>
      <c r="N15" s="125" t="s">
        <v>56</v>
      </c>
      <c r="O15" s="126" t="s">
        <v>57</v>
      </c>
    </row>
    <row r="16" spans="1:19" ht="45" x14ac:dyDescent="0.25">
      <c r="A16" s="127" t="s">
        <v>89</v>
      </c>
      <c r="B16" s="128" t="s">
        <v>53</v>
      </c>
      <c r="C16" s="128" t="s">
        <v>90</v>
      </c>
      <c r="D16" s="128" t="s">
        <v>91</v>
      </c>
      <c r="E16" s="129" t="s">
        <v>92</v>
      </c>
      <c r="F16" s="129" t="s">
        <v>93</v>
      </c>
      <c r="G16" s="127" t="s">
        <v>94</v>
      </c>
      <c r="J16" s="130" t="s">
        <v>58</v>
      </c>
      <c r="K16" s="131">
        <f>'Verify Sample &amp; Unit Costs'!B35</f>
        <v>0.3</v>
      </c>
      <c r="L16" s="130">
        <f>'Verify Sample &amp; Unit Costs'!B6*'Verify Sample &amp; Unit Costs'!B7</f>
        <v>20</v>
      </c>
      <c r="M16" s="130">
        <v>1</v>
      </c>
      <c r="N16" s="132">
        <f>K16*L16*M16</f>
        <v>6</v>
      </c>
      <c r="O16" s="130" t="s">
        <v>59</v>
      </c>
    </row>
    <row r="17" spans="1:15" x14ac:dyDescent="0.25">
      <c r="A17" s="133" t="s">
        <v>178</v>
      </c>
      <c r="B17" s="134"/>
      <c r="C17" s="135"/>
      <c r="D17" s="134"/>
      <c r="E17" s="136"/>
      <c r="F17" s="134"/>
      <c r="G17" s="134"/>
      <c r="J17" s="130" t="s">
        <v>60</v>
      </c>
      <c r="K17" s="131">
        <f>'Verify Sample &amp; Unit Costs'!B35</f>
        <v>0.3</v>
      </c>
      <c r="L17" s="130">
        <f>'Verify Sample &amp; Unit Costs'!B6*'Verify Sample &amp; Unit Costs'!B7</f>
        <v>20</v>
      </c>
      <c r="M17" s="130">
        <v>20</v>
      </c>
      <c r="N17" s="137">
        <f>K17*L17*M17</f>
        <v>120</v>
      </c>
      <c r="O17" s="130" t="s">
        <v>59</v>
      </c>
    </row>
    <row r="18" spans="1:15" ht="23.25" x14ac:dyDescent="0.25">
      <c r="A18" s="138" t="s">
        <v>165</v>
      </c>
      <c r="B18" s="139">
        <f>'Verify Sample &amp; Unit Costs'!B46</f>
        <v>300</v>
      </c>
      <c r="C18" s="140">
        <f>('Verify Sample &amp; Unit Costs'!B21*'Verify Sample &amp; Unit Costs'!B22)+5</f>
        <v>8</v>
      </c>
      <c r="D18" s="141"/>
      <c r="E18" s="142">
        <f>F18*F3</f>
        <v>2400</v>
      </c>
      <c r="F18" s="143">
        <f>B18*C18</f>
        <v>2400</v>
      </c>
      <c r="G18" s="144"/>
      <c r="J18" s="145" t="s">
        <v>61</v>
      </c>
      <c r="K18" s="131">
        <f>'Verify Sample &amp; Unit Costs'!B35</f>
        <v>0.3</v>
      </c>
      <c r="L18" s="130">
        <f>('Verify Sample &amp; Unit Costs'!B6*'Verify Sample &amp; Unit Costs'!B7)*2</f>
        <v>40</v>
      </c>
      <c r="M18" s="130">
        <v>15</v>
      </c>
      <c r="N18" s="137">
        <f>K18*L18*M18</f>
        <v>180</v>
      </c>
      <c r="O18" s="130" t="s">
        <v>62</v>
      </c>
    </row>
    <row r="19" spans="1:15" x14ac:dyDescent="0.25">
      <c r="A19" s="138" t="s">
        <v>169</v>
      </c>
      <c r="B19" s="139">
        <f>'Verify Sample &amp; Unit Costs'!B47</f>
        <v>35</v>
      </c>
      <c r="C19" s="146">
        <f>('Verify Sample &amp; Unit Costs'!B21*'Verify Sample &amp; Unit Costs'!B22)+5</f>
        <v>8</v>
      </c>
      <c r="D19" s="141"/>
      <c r="E19" s="142">
        <f>F19*F3</f>
        <v>280</v>
      </c>
      <c r="F19" s="143">
        <f>B19*C19</f>
        <v>280</v>
      </c>
      <c r="G19" s="144"/>
      <c r="J19" s="145" t="s">
        <v>63</v>
      </c>
      <c r="K19" s="131">
        <f>'Verify Sample &amp; Unit Costs'!B35</f>
        <v>0.3</v>
      </c>
      <c r="L19" s="130">
        <f>'Verify Sample &amp; Unit Costs'!B6*'Verify Sample &amp; Unit Costs'!B7</f>
        <v>20</v>
      </c>
      <c r="M19" s="130">
        <v>15</v>
      </c>
      <c r="N19" s="137">
        <f>K19*L19*M19</f>
        <v>90</v>
      </c>
      <c r="O19" s="130" t="s">
        <v>59</v>
      </c>
    </row>
    <row r="20" spans="1:15" x14ac:dyDescent="0.25">
      <c r="A20" s="138" t="s">
        <v>168</v>
      </c>
      <c r="B20" s="139">
        <f>'Verify Sample &amp; Unit Costs'!B48</f>
        <v>15</v>
      </c>
      <c r="C20" s="146">
        <f>'Verify Sample &amp; Unit Costs'!B21*'Verify Sample &amp; Unit Costs'!B22+5</f>
        <v>8</v>
      </c>
      <c r="D20" s="141"/>
      <c r="E20" s="142">
        <f>F20*F3</f>
        <v>120</v>
      </c>
      <c r="F20" s="143">
        <f>B20*C20</f>
        <v>120</v>
      </c>
      <c r="G20" s="144"/>
      <c r="J20" s="147" t="s">
        <v>64</v>
      </c>
      <c r="K20" s="148">
        <f>'Verify Sample &amp; Unit Costs'!B37</f>
        <v>7</v>
      </c>
      <c r="L20" s="130">
        <f>'Verify Sample &amp; Unit Costs'!B6*'Verify Sample &amp; Unit Costs'!B7</f>
        <v>20</v>
      </c>
      <c r="M20" s="130"/>
      <c r="N20" s="137">
        <f>K20*L20</f>
        <v>140</v>
      </c>
      <c r="O20" s="130" t="s">
        <v>59</v>
      </c>
    </row>
    <row r="21" spans="1:15" x14ac:dyDescent="0.25">
      <c r="A21" s="138" t="s">
        <v>186</v>
      </c>
      <c r="B21" s="139">
        <f>'Verify Sample &amp; Unit Costs'!B49</f>
        <v>40</v>
      </c>
      <c r="C21" s="146">
        <f>'Verify Sample &amp; Unit Costs'!B22</f>
        <v>1</v>
      </c>
      <c r="D21" s="141"/>
      <c r="E21" s="142">
        <f>F21*F3</f>
        <v>40</v>
      </c>
      <c r="F21" s="143">
        <f>B21*C21</f>
        <v>40</v>
      </c>
      <c r="G21" s="144"/>
      <c r="J21" s="147" t="s">
        <v>65</v>
      </c>
      <c r="K21" s="148">
        <f>'Verify Sample &amp; Unit Costs'!B38</f>
        <v>3</v>
      </c>
      <c r="L21" s="130">
        <f>'Verify Sample &amp; Unit Costs'!B6*'Verify Sample &amp; Unit Costs'!B7</f>
        <v>20</v>
      </c>
      <c r="M21" s="130"/>
      <c r="N21" s="137">
        <f>K21*L21</f>
        <v>60</v>
      </c>
      <c r="O21" s="130" t="s">
        <v>59</v>
      </c>
    </row>
    <row r="22" spans="1:15" x14ac:dyDescent="0.25">
      <c r="A22" s="138" t="s">
        <v>95</v>
      </c>
      <c r="B22" s="149"/>
      <c r="C22" s="146"/>
      <c r="D22" s="141"/>
      <c r="E22" s="142"/>
      <c r="F22" s="143"/>
      <c r="G22" s="141"/>
      <c r="J22" s="147" t="s">
        <v>37</v>
      </c>
      <c r="K22" s="150">
        <f>'Verify Sample &amp; Unit Costs'!B39</f>
        <v>1</v>
      </c>
      <c r="L22" s="130">
        <f>'Verify Sample &amp; Unit Costs'!B6*'Verify Sample &amp; Unit Costs'!B7</f>
        <v>20</v>
      </c>
      <c r="M22" s="130"/>
      <c r="N22" s="137">
        <v>10</v>
      </c>
      <c r="O22" s="130" t="s">
        <v>59</v>
      </c>
    </row>
    <row r="23" spans="1:15" x14ac:dyDescent="0.25">
      <c r="A23" s="151" t="s">
        <v>96</v>
      </c>
      <c r="B23" s="152"/>
      <c r="C23" s="153"/>
      <c r="D23" s="152"/>
      <c r="E23" s="154">
        <f>SUM(E18:E22)</f>
        <v>2840</v>
      </c>
      <c r="F23" s="155">
        <f>SUM(F18:F22)</f>
        <v>2840</v>
      </c>
      <c r="G23" s="152"/>
      <c r="J23" s="147" t="s">
        <v>66</v>
      </c>
      <c r="K23" s="148">
        <f>'Verify Sample &amp; Unit Costs'!B40</f>
        <v>0.2</v>
      </c>
      <c r="L23" s="130">
        <f>'Verify Sample &amp; Unit Costs'!B6*'Verify Sample &amp; Unit Costs'!B7</f>
        <v>20</v>
      </c>
      <c r="M23" s="130"/>
      <c r="N23" s="137">
        <f t="shared" ref="N23:N28" si="0">K23*L23</f>
        <v>4</v>
      </c>
      <c r="O23" s="130" t="s">
        <v>59</v>
      </c>
    </row>
    <row r="24" spans="1:15" ht="22.5" x14ac:dyDescent="0.25">
      <c r="A24" s="133" t="s">
        <v>179</v>
      </c>
      <c r="B24" s="134"/>
      <c r="C24" s="135"/>
      <c r="D24" s="134"/>
      <c r="E24" s="136"/>
      <c r="F24" s="156"/>
      <c r="G24" s="134"/>
      <c r="J24" s="147" t="s">
        <v>67</v>
      </c>
      <c r="K24" s="148">
        <f>'Verify Sample &amp; Unit Costs'!B40</f>
        <v>0.2</v>
      </c>
      <c r="L24" s="130">
        <f>'Verify Sample &amp; Unit Costs'!B6*'Verify Sample &amp; Unit Costs'!B7</f>
        <v>20</v>
      </c>
      <c r="M24" s="130"/>
      <c r="N24" s="137">
        <f t="shared" si="0"/>
        <v>4</v>
      </c>
      <c r="O24" s="130" t="s">
        <v>62</v>
      </c>
    </row>
    <row r="25" spans="1:15" x14ac:dyDescent="0.25">
      <c r="A25" s="138" t="s">
        <v>97</v>
      </c>
      <c r="B25" s="141">
        <f>'Verify Sample &amp; Unit Costs'!B26</f>
        <v>500</v>
      </c>
      <c r="C25" s="146"/>
      <c r="D25" s="292">
        <v>5</v>
      </c>
      <c r="E25" s="143">
        <f>F25*F3</f>
        <v>2500</v>
      </c>
      <c r="F25" s="143">
        <f>B25*D25</f>
        <v>2500</v>
      </c>
      <c r="G25" s="141"/>
      <c r="J25" s="147" t="s">
        <v>68</v>
      </c>
      <c r="K25" s="148">
        <f>'Verify Sample &amp; Unit Costs'!B40</f>
        <v>0.2</v>
      </c>
      <c r="L25" s="130">
        <f>'Verify Sample &amp; Unit Costs'!B6*'Verify Sample &amp; Unit Costs'!B7</f>
        <v>20</v>
      </c>
      <c r="M25" s="130"/>
      <c r="N25" s="137">
        <f t="shared" si="0"/>
        <v>4</v>
      </c>
      <c r="O25" s="130" t="s">
        <v>59</v>
      </c>
    </row>
    <row r="26" spans="1:15" x14ac:dyDescent="0.25">
      <c r="A26" s="138" t="s">
        <v>98</v>
      </c>
      <c r="B26" s="141">
        <f>'Verify Sample &amp; Unit Costs'!B27</f>
        <v>8</v>
      </c>
      <c r="C26" s="146">
        <f>'Verify Sample &amp; Unit Costs'!B7*'Verify Sample &amp; Unit Costs'!B6+5</f>
        <v>25</v>
      </c>
      <c r="D26" s="292">
        <v>5</v>
      </c>
      <c r="E26" s="143">
        <f>F26*F3</f>
        <v>1000</v>
      </c>
      <c r="F26" s="143">
        <f>B26*C26*D26</f>
        <v>1000</v>
      </c>
      <c r="G26" s="141"/>
      <c r="J26" s="147" t="s">
        <v>69</v>
      </c>
      <c r="K26" s="148">
        <f>'Verify Sample &amp; Unit Costs'!B40</f>
        <v>0.2</v>
      </c>
      <c r="L26" s="130">
        <f>'Verify Sample &amp; Unit Costs'!B6*'Verify Sample &amp; Unit Costs'!B7</f>
        <v>20</v>
      </c>
      <c r="M26" s="130"/>
      <c r="N26" s="137">
        <f t="shared" si="0"/>
        <v>4</v>
      </c>
      <c r="O26" s="130" t="s">
        <v>59</v>
      </c>
    </row>
    <row r="27" spans="1:15" x14ac:dyDescent="0.25">
      <c r="A27" s="138" t="s">
        <v>185</v>
      </c>
      <c r="B27" s="141"/>
      <c r="C27" s="146"/>
      <c r="D27" s="141"/>
      <c r="E27" s="143">
        <f>F27*F3</f>
        <v>4000</v>
      </c>
      <c r="F27" s="143">
        <f>('Verify Sample &amp; Unit Costs'!B6*'Verify Sample &amp; Unit Costs'!B7)*'Verify Sample &amp; Unit Costs'!B28*5</f>
        <v>4000</v>
      </c>
      <c r="G27" s="141"/>
      <c r="J27" s="147" t="s">
        <v>70</v>
      </c>
      <c r="K27" s="148">
        <f>'Verify Sample &amp; Unit Costs'!B41</f>
        <v>0.5</v>
      </c>
      <c r="L27" s="130">
        <f>'Verify Sample &amp; Unit Costs'!B6*'Verify Sample &amp; Unit Costs'!B7</f>
        <v>20</v>
      </c>
      <c r="M27" s="130"/>
      <c r="N27" s="137">
        <f t="shared" si="0"/>
        <v>10</v>
      </c>
      <c r="O27" s="130" t="s">
        <v>59</v>
      </c>
    </row>
    <row r="28" spans="1:15" x14ac:dyDescent="0.25">
      <c r="A28" s="138" t="s">
        <v>99</v>
      </c>
      <c r="B28" s="141"/>
      <c r="C28" s="146"/>
      <c r="D28" s="141"/>
      <c r="E28" s="143">
        <f>F28*F3</f>
        <v>600</v>
      </c>
      <c r="F28" s="143">
        <f>('Verify Sample &amp; Unit Costs'!B6*'Verify Sample &amp; Unit Costs'!B7)*30</f>
        <v>600</v>
      </c>
      <c r="G28" s="141"/>
      <c r="J28" s="147" t="s">
        <v>40</v>
      </c>
      <c r="K28" s="148">
        <f>'Verify Sample &amp; Unit Costs'!B42</f>
        <v>6</v>
      </c>
      <c r="L28" s="130">
        <v>1</v>
      </c>
      <c r="M28" s="130"/>
      <c r="N28" s="137">
        <f t="shared" si="0"/>
        <v>6</v>
      </c>
      <c r="O28" s="130"/>
    </row>
    <row r="29" spans="1:15" x14ac:dyDescent="0.25">
      <c r="A29" s="138" t="s">
        <v>100</v>
      </c>
      <c r="B29" s="149"/>
      <c r="C29" s="149"/>
      <c r="D29" s="149"/>
      <c r="E29" s="143">
        <f>F29*F3</f>
        <v>400</v>
      </c>
      <c r="F29" s="143">
        <f>(('Verify Sample &amp; Unit Costs'!B6*'Verify Sample &amp; Unit Costs'!B7)/10)*'Verify Sample &amp; Unit Costs'!B30*'Verify Sample &amp; Unit Costs'!B8</f>
        <v>400</v>
      </c>
      <c r="G29" s="141"/>
      <c r="J29" s="157" t="s">
        <v>282</v>
      </c>
      <c r="K29" s="158"/>
      <c r="L29" s="158"/>
      <c r="M29" s="158"/>
      <c r="N29" s="159">
        <f>SUM(N16:N28)</f>
        <v>638</v>
      </c>
      <c r="O29" s="158"/>
    </row>
    <row r="30" spans="1:15" x14ac:dyDescent="0.25">
      <c r="A30" s="138" t="s">
        <v>150</v>
      </c>
      <c r="B30" s="141"/>
      <c r="C30" s="146"/>
      <c r="D30" s="141"/>
      <c r="E30" s="143">
        <f>F30*F3</f>
        <v>638</v>
      </c>
      <c r="F30" s="143">
        <f>'ODC Costs and Breakdown'!N29</f>
        <v>638</v>
      </c>
      <c r="G30" s="141"/>
      <c r="J30" s="126" t="s">
        <v>71</v>
      </c>
      <c r="K30" s="126" t="s">
        <v>53</v>
      </c>
      <c r="L30" s="126" t="s">
        <v>72</v>
      </c>
      <c r="M30" s="126" t="s">
        <v>73</v>
      </c>
      <c r="N30" s="160" t="s">
        <v>56</v>
      </c>
      <c r="O30" s="126" t="s">
        <v>57</v>
      </c>
    </row>
    <row r="31" spans="1:15" ht="23.25" x14ac:dyDescent="0.25">
      <c r="A31" s="138" t="s">
        <v>170</v>
      </c>
      <c r="B31" s="141"/>
      <c r="C31" s="146"/>
      <c r="D31" s="141"/>
      <c r="E31" s="143">
        <f>F31*F3</f>
        <v>505</v>
      </c>
      <c r="F31" s="143">
        <f>(('Verify Sample &amp; Unit Costs'!B6*'Verify Sample &amp; Unit Costs'!B7)/2)*'Verify Sample &amp; Unit Costs'!B33+5</f>
        <v>505</v>
      </c>
      <c r="G31" s="141"/>
      <c r="J31" s="145" t="s">
        <v>74</v>
      </c>
      <c r="K31" s="161">
        <f>'Verify Sample &amp; Unit Costs'!B35</f>
        <v>0.3</v>
      </c>
      <c r="L31" s="130">
        <f>('Verify Sample &amp; Unit Costs'!B6*'Verify Sample &amp; Unit Costs'!B7)/2</f>
        <v>10</v>
      </c>
      <c r="M31" s="130">
        <v>15</v>
      </c>
      <c r="N31" s="137">
        <f>K31*L31*M31</f>
        <v>45</v>
      </c>
      <c r="O31" s="147" t="s">
        <v>75</v>
      </c>
    </row>
    <row r="32" spans="1:15" ht="23.25" x14ac:dyDescent="0.25">
      <c r="A32" s="138" t="s">
        <v>95</v>
      </c>
      <c r="B32" s="141"/>
      <c r="C32" s="146"/>
      <c r="D32" s="141"/>
      <c r="E32" s="143"/>
      <c r="F32" s="143"/>
      <c r="G32" s="141"/>
      <c r="J32" s="145" t="s">
        <v>76</v>
      </c>
      <c r="K32" s="161">
        <f>'Verify Sample &amp; Unit Costs'!B35</f>
        <v>0.3</v>
      </c>
      <c r="L32" s="130">
        <f>'Verify Sample &amp; Unit Costs'!B6*'Verify Sample &amp; Unit Costs'!B7</f>
        <v>20</v>
      </c>
      <c r="M32" s="130">
        <v>5</v>
      </c>
      <c r="N32" s="137">
        <f>K32*L32*M32</f>
        <v>30</v>
      </c>
      <c r="O32" s="147" t="s">
        <v>77</v>
      </c>
    </row>
    <row r="33" spans="1:15" x14ac:dyDescent="0.25">
      <c r="A33" s="151" t="s">
        <v>101</v>
      </c>
      <c r="B33" s="152"/>
      <c r="C33" s="153"/>
      <c r="D33" s="152"/>
      <c r="E33" s="154">
        <f>SUM(E25:E32)</f>
        <v>9643</v>
      </c>
      <c r="F33" s="155">
        <f>SUM(F25:F32)</f>
        <v>9643</v>
      </c>
      <c r="G33" s="152"/>
      <c r="J33" s="147" t="s">
        <v>79</v>
      </c>
      <c r="K33" s="161">
        <f>'Verify Sample &amp; Unit Costs'!B35</f>
        <v>0.3</v>
      </c>
      <c r="L33" s="162">
        <f>'Verify Sample &amp; Unit Costs'!B4</f>
        <v>10</v>
      </c>
      <c r="M33" s="130">
        <v>1</v>
      </c>
      <c r="N33" s="137">
        <f>K33*L33*M33</f>
        <v>3</v>
      </c>
      <c r="O33" s="147" t="s">
        <v>80</v>
      </c>
    </row>
    <row r="34" spans="1:15" ht="22.5" x14ac:dyDescent="0.25">
      <c r="A34" s="163" t="s">
        <v>284</v>
      </c>
      <c r="B34" s="134"/>
      <c r="C34" s="135"/>
      <c r="D34" s="134"/>
      <c r="E34" s="164"/>
      <c r="F34" s="156"/>
      <c r="G34" s="134"/>
      <c r="J34" s="147" t="s">
        <v>82</v>
      </c>
      <c r="K34" s="161">
        <f>'Verify Sample &amp; Unit Costs'!B45</f>
        <v>1</v>
      </c>
      <c r="L34" s="130">
        <f>'Verify Sample &amp; Unit Costs'!B3</f>
        <v>150</v>
      </c>
      <c r="M34" s="130"/>
      <c r="N34" s="137">
        <f>K34*L34</f>
        <v>150</v>
      </c>
      <c r="O34" s="147" t="s">
        <v>81</v>
      </c>
    </row>
    <row r="35" spans="1:15" ht="23.25" x14ac:dyDescent="0.25">
      <c r="A35" s="165" t="s">
        <v>102</v>
      </c>
      <c r="B35" s="166"/>
      <c r="C35" s="167"/>
      <c r="D35" s="166"/>
      <c r="E35" s="168">
        <f>F35*F3</f>
        <v>400</v>
      </c>
      <c r="F35" s="293">
        <v>400</v>
      </c>
      <c r="G35" s="166"/>
      <c r="J35" s="147" t="s">
        <v>83</v>
      </c>
      <c r="K35" s="161">
        <f>'Verify Sample &amp; Unit Costs'!B35</f>
        <v>0.3</v>
      </c>
      <c r="L35" s="162">
        <f>'Verify Sample &amp; Unit Costs'!B4</f>
        <v>10</v>
      </c>
      <c r="M35" s="130">
        <v>1</v>
      </c>
      <c r="N35" s="137">
        <f>K35*L35*M35</f>
        <v>3</v>
      </c>
      <c r="O35" s="147" t="s">
        <v>80</v>
      </c>
    </row>
    <row r="36" spans="1:15" x14ac:dyDescent="0.25">
      <c r="A36" s="138" t="s">
        <v>95</v>
      </c>
      <c r="B36" s="166"/>
      <c r="C36" s="167"/>
      <c r="D36" s="166"/>
      <c r="E36" s="168">
        <v>0</v>
      </c>
      <c r="F36" s="143">
        <v>0</v>
      </c>
      <c r="G36" s="166"/>
      <c r="J36" s="169" t="s">
        <v>281</v>
      </c>
      <c r="K36" s="169"/>
      <c r="L36" s="169"/>
      <c r="M36" s="169"/>
      <c r="N36" s="159">
        <f>SUM(N31:N35)</f>
        <v>231</v>
      </c>
      <c r="O36" s="170"/>
    </row>
    <row r="37" spans="1:15" x14ac:dyDescent="0.25">
      <c r="A37" s="151" t="s">
        <v>103</v>
      </c>
      <c r="B37" s="152"/>
      <c r="C37" s="153"/>
      <c r="D37" s="152"/>
      <c r="E37" s="154">
        <f>SUM(E35:E36)</f>
        <v>400</v>
      </c>
      <c r="F37" s="155">
        <f>SUM(F35:F36)</f>
        <v>400</v>
      </c>
      <c r="G37" s="152"/>
      <c r="J37" s="171" t="s">
        <v>262</v>
      </c>
      <c r="K37" s="171" t="s">
        <v>53</v>
      </c>
      <c r="L37" s="171" t="s">
        <v>72</v>
      </c>
      <c r="M37" s="171"/>
      <c r="N37" s="172" t="s">
        <v>56</v>
      </c>
      <c r="O37" s="171" t="s">
        <v>57</v>
      </c>
    </row>
    <row r="38" spans="1:15" x14ac:dyDescent="0.25">
      <c r="A38" s="133" t="s">
        <v>180</v>
      </c>
      <c r="B38" s="134"/>
      <c r="C38" s="135"/>
      <c r="D38" s="134"/>
      <c r="E38" s="136"/>
      <c r="F38" s="156"/>
      <c r="G38" s="134"/>
      <c r="J38" s="173" t="s">
        <v>34</v>
      </c>
      <c r="K38" s="174">
        <f>'Verify Sample &amp; Unit Costs'!B36</f>
        <v>10</v>
      </c>
      <c r="L38" s="175">
        <v>2</v>
      </c>
      <c r="M38" s="176"/>
      <c r="N38" s="174">
        <f t="shared" ref="N38:N50" si="1">K38*L38</f>
        <v>20</v>
      </c>
      <c r="O38" s="177"/>
    </row>
    <row r="39" spans="1:15" x14ac:dyDescent="0.25">
      <c r="A39" s="138" t="s">
        <v>97</v>
      </c>
      <c r="B39" s="141">
        <f>'Verify Sample &amp; Unit Costs'!B26</f>
        <v>500</v>
      </c>
      <c r="C39" s="146"/>
      <c r="D39" s="141">
        <v>5</v>
      </c>
      <c r="E39" s="143">
        <f>F39*F3</f>
        <v>2500</v>
      </c>
      <c r="F39" s="143">
        <f>B39*D39</f>
        <v>2500</v>
      </c>
      <c r="G39" s="141"/>
      <c r="J39" s="175" t="s">
        <v>65</v>
      </c>
      <c r="K39" s="174">
        <v>2</v>
      </c>
      <c r="L39" s="178">
        <f>'Instructions and Inputs'!H6</f>
        <v>3</v>
      </c>
      <c r="M39" s="179"/>
      <c r="N39" s="174">
        <f t="shared" si="1"/>
        <v>6</v>
      </c>
      <c r="O39" s="180" t="s">
        <v>131</v>
      </c>
    </row>
    <row r="40" spans="1:15" x14ac:dyDescent="0.25">
      <c r="A40" s="138" t="s">
        <v>98</v>
      </c>
      <c r="B40" s="141">
        <f>'Verify Sample &amp; Unit Costs'!B27</f>
        <v>8</v>
      </c>
      <c r="C40" s="146">
        <f>'Verify Sample &amp; Unit Costs'!B21*'Verify Sample &amp; Unit Costs'!B22+8</f>
        <v>11</v>
      </c>
      <c r="D40" s="141">
        <v>5</v>
      </c>
      <c r="E40" s="143">
        <f>F40*F3</f>
        <v>440</v>
      </c>
      <c r="F40" s="143">
        <f>B40*C40*D40</f>
        <v>440</v>
      </c>
      <c r="G40" s="141"/>
      <c r="J40" s="173" t="s">
        <v>135</v>
      </c>
      <c r="K40" s="174">
        <f>'Verify Sample &amp; Unit Costs'!B39</f>
        <v>1</v>
      </c>
      <c r="L40" s="175">
        <f>'Instructions and Inputs'!H6</f>
        <v>3</v>
      </c>
      <c r="M40" s="181"/>
      <c r="N40" s="174">
        <f t="shared" si="1"/>
        <v>3</v>
      </c>
      <c r="O40" s="182"/>
    </row>
    <row r="41" spans="1:15" x14ac:dyDescent="0.25">
      <c r="A41" s="138" t="s">
        <v>99</v>
      </c>
      <c r="B41" s="141">
        <f>'Verify Sample &amp; Unit Costs'!B32</f>
        <v>30</v>
      </c>
      <c r="C41" s="140">
        <f>('Verify Sample &amp; Unit Costs'!B21*'Verify Sample &amp; Unit Costs'!B22)+5</f>
        <v>8</v>
      </c>
      <c r="D41" s="141"/>
      <c r="E41" s="143">
        <f>F41*F3</f>
        <v>240</v>
      </c>
      <c r="F41" s="143">
        <f>B41*C41</f>
        <v>240</v>
      </c>
      <c r="G41" s="141" t="s">
        <v>164</v>
      </c>
      <c r="J41" s="173" t="s">
        <v>66</v>
      </c>
      <c r="K41" s="174">
        <f>'Verify Sample &amp; Unit Costs'!B40</f>
        <v>0.2</v>
      </c>
      <c r="L41" s="175">
        <f>'Instructions and Inputs'!H6</f>
        <v>3</v>
      </c>
      <c r="M41" s="181"/>
      <c r="N41" s="174">
        <f t="shared" si="1"/>
        <v>0.60000000000000009</v>
      </c>
      <c r="O41" s="182"/>
    </row>
    <row r="42" spans="1:15" x14ac:dyDescent="0.25">
      <c r="A42" s="138" t="s">
        <v>100</v>
      </c>
      <c r="B42" s="141">
        <f>'Verify Sample &amp; Unit Costs'!B30</f>
        <v>100</v>
      </c>
      <c r="C42" s="146">
        <f>('Verify Sample &amp; Unit Costs'!B7*'Verify Sample &amp; Unit Costs'!B6)/4</f>
        <v>5</v>
      </c>
      <c r="D42" s="141">
        <f>'Verify Sample &amp; Unit Costs'!B8</f>
        <v>2</v>
      </c>
      <c r="E42" s="143">
        <f>F42*F3</f>
        <v>1000</v>
      </c>
      <c r="F42" s="143">
        <f>B42*C42*D42</f>
        <v>1000</v>
      </c>
      <c r="G42" s="141"/>
      <c r="J42" s="173" t="s">
        <v>67</v>
      </c>
      <c r="K42" s="174">
        <f>'Verify Sample &amp; Unit Costs'!B40</f>
        <v>0.2</v>
      </c>
      <c r="L42" s="175">
        <f>'Instructions and Inputs'!H6</f>
        <v>3</v>
      </c>
      <c r="M42" s="181"/>
      <c r="N42" s="174">
        <f t="shared" si="1"/>
        <v>0.60000000000000009</v>
      </c>
      <c r="O42" s="182"/>
    </row>
    <row r="43" spans="1:15" x14ac:dyDescent="0.25">
      <c r="A43" s="138" t="s">
        <v>150</v>
      </c>
      <c r="B43" s="141"/>
      <c r="C43" s="146"/>
      <c r="D43" s="141"/>
      <c r="E43" s="143">
        <f>F43*F3</f>
        <v>304.7999999999999</v>
      </c>
      <c r="F43" s="143">
        <f>'ODC Costs and Breakdown'!N65</f>
        <v>304.7999999999999</v>
      </c>
      <c r="G43" s="141"/>
      <c r="J43" s="173" t="s">
        <v>68</v>
      </c>
      <c r="K43" s="174">
        <f>'Verify Sample &amp; Unit Costs'!B40</f>
        <v>0.2</v>
      </c>
      <c r="L43" s="175">
        <f>'Instructions and Inputs'!H6</f>
        <v>3</v>
      </c>
      <c r="M43" s="181"/>
      <c r="N43" s="174">
        <f t="shared" si="1"/>
        <v>0.60000000000000009</v>
      </c>
      <c r="O43" s="182"/>
    </row>
    <row r="44" spans="1:15" x14ac:dyDescent="0.25">
      <c r="A44" s="138" t="s">
        <v>170</v>
      </c>
      <c r="B44" s="141"/>
      <c r="C44" s="146"/>
      <c r="D44" s="141"/>
      <c r="E44" s="143">
        <f>F44*F3</f>
        <v>750</v>
      </c>
      <c r="F44" s="143">
        <f>(('Verify Sample &amp; Unit Costs'!B19*'Verify Sample &amp; Unit Costs'!B21)/2)*'Verify Sample &amp; Unit Costs'!B33*5</f>
        <v>750</v>
      </c>
      <c r="G44" s="141"/>
      <c r="J44" s="173" t="s">
        <v>39</v>
      </c>
      <c r="K44" s="174">
        <f>'Verify Sample &amp; Unit Costs'!B41</f>
        <v>0.5</v>
      </c>
      <c r="L44" s="175">
        <f>'Instructions and Inputs'!H6</f>
        <v>3</v>
      </c>
      <c r="M44" s="181"/>
      <c r="N44" s="174">
        <f t="shared" si="1"/>
        <v>1.5</v>
      </c>
      <c r="O44" s="182"/>
    </row>
    <row r="45" spans="1:15" x14ac:dyDescent="0.25">
      <c r="A45" s="138" t="s">
        <v>95</v>
      </c>
      <c r="B45" s="141"/>
      <c r="C45" s="146"/>
      <c r="D45" s="141"/>
      <c r="E45" s="143">
        <f>F45*F3</f>
        <v>0</v>
      </c>
      <c r="F45" s="143"/>
      <c r="G45" s="141"/>
      <c r="J45" s="173" t="s">
        <v>69</v>
      </c>
      <c r="K45" s="174">
        <f>'Verify Sample &amp; Unit Costs'!B40</f>
        <v>0.2</v>
      </c>
      <c r="L45" s="175">
        <f>'Instructions and Inputs'!H6</f>
        <v>3</v>
      </c>
      <c r="M45" s="181"/>
      <c r="N45" s="174">
        <f t="shared" si="1"/>
        <v>0.60000000000000009</v>
      </c>
      <c r="O45" s="182"/>
    </row>
    <row r="46" spans="1:15" x14ac:dyDescent="0.25">
      <c r="A46" s="151" t="s">
        <v>104</v>
      </c>
      <c r="B46" s="152"/>
      <c r="C46" s="153"/>
      <c r="D46" s="152"/>
      <c r="E46" s="154">
        <f>SUM(E39:E45)</f>
        <v>5234.8</v>
      </c>
      <c r="F46" s="155">
        <f>SUM(F39:F45)</f>
        <v>5234.8</v>
      </c>
      <c r="G46" s="152"/>
      <c r="J46" s="173" t="s">
        <v>40</v>
      </c>
      <c r="K46" s="174">
        <f>'Verify Sample &amp; Unit Costs'!B42</f>
        <v>6</v>
      </c>
      <c r="L46" s="175">
        <v>2</v>
      </c>
      <c r="M46" s="181"/>
      <c r="N46" s="174">
        <f t="shared" si="1"/>
        <v>12</v>
      </c>
      <c r="O46" s="182"/>
    </row>
    <row r="47" spans="1:15" x14ac:dyDescent="0.25">
      <c r="A47" s="133" t="s">
        <v>175</v>
      </c>
      <c r="B47" s="134"/>
      <c r="C47" s="135"/>
      <c r="D47" s="134"/>
      <c r="E47" s="136"/>
      <c r="F47" s="156"/>
      <c r="G47" s="134"/>
      <c r="J47" s="173" t="s">
        <v>136</v>
      </c>
      <c r="K47" s="174">
        <f>'Verify Sample &amp; Unit Costs'!B43</f>
        <v>2</v>
      </c>
      <c r="L47" s="175">
        <v>5</v>
      </c>
      <c r="M47" s="181"/>
      <c r="N47" s="174">
        <f t="shared" si="1"/>
        <v>10</v>
      </c>
      <c r="O47" s="182"/>
    </row>
    <row r="48" spans="1:15" x14ac:dyDescent="0.25">
      <c r="A48" s="183" t="s">
        <v>105</v>
      </c>
      <c r="B48" s="166"/>
      <c r="C48" s="167"/>
      <c r="D48" s="166"/>
      <c r="E48" s="184">
        <f>F48*F3</f>
        <v>240</v>
      </c>
      <c r="F48" s="143">
        <f>('Verify Sample &amp; Unit Costs'!B21*'Verify Sample &amp; Unit Costs'!B22)*'Verify Sample &amp; Unit Costs'!B28*'Verify Sample &amp; Unit Costs'!B8</f>
        <v>240</v>
      </c>
      <c r="G48" s="141"/>
      <c r="J48" s="173" t="s">
        <v>43</v>
      </c>
      <c r="K48" s="174">
        <f>'Verify Sample &amp; Unit Costs'!B40</f>
        <v>0.2</v>
      </c>
      <c r="L48" s="175">
        <v>5</v>
      </c>
      <c r="M48" s="181"/>
      <c r="N48" s="174">
        <f t="shared" si="1"/>
        <v>1</v>
      </c>
      <c r="O48" s="182"/>
    </row>
    <row r="49" spans="1:15" x14ac:dyDescent="0.25">
      <c r="A49" s="144" t="s">
        <v>106</v>
      </c>
      <c r="B49" s="141">
        <f>'Verify Sample &amp; Unit Costs'!B30</f>
        <v>100</v>
      </c>
      <c r="C49" s="146">
        <f>(('Verify Sample &amp; Unit Costs'!B7*'Verify Sample &amp; Unit Costs'!B6)/4)</f>
        <v>5</v>
      </c>
      <c r="D49" s="141">
        <f>'Verify Sample &amp; Unit Costs'!B8</f>
        <v>2</v>
      </c>
      <c r="E49" s="184">
        <f>F49*F3</f>
        <v>1000</v>
      </c>
      <c r="F49" s="143">
        <f>B49*C49*D49</f>
        <v>1000</v>
      </c>
      <c r="G49" s="141"/>
      <c r="J49" s="185" t="s">
        <v>137</v>
      </c>
      <c r="K49" s="174">
        <f>'Verify Sample &amp; Unit Costs'!B44</f>
        <v>10</v>
      </c>
      <c r="L49" s="175">
        <v>5</v>
      </c>
      <c r="M49" s="181"/>
      <c r="N49" s="174">
        <f t="shared" si="1"/>
        <v>50</v>
      </c>
      <c r="O49" s="182"/>
    </row>
    <row r="50" spans="1:15" x14ac:dyDescent="0.25">
      <c r="A50" s="138" t="s">
        <v>151</v>
      </c>
      <c r="B50" s="149"/>
      <c r="C50" s="149"/>
      <c r="D50" s="149"/>
      <c r="E50" s="184">
        <f>F50*F3</f>
        <v>231</v>
      </c>
      <c r="F50" s="143">
        <f>'ODC Costs and Breakdown'!N36</f>
        <v>231</v>
      </c>
      <c r="G50" s="141"/>
      <c r="J50" s="177" t="s">
        <v>138</v>
      </c>
      <c r="K50" s="186">
        <f>'Verify Sample &amp; Unit Costs'!B45</f>
        <v>1</v>
      </c>
      <c r="L50" s="187">
        <f>'Verify Sample &amp; Unit Costs'!B3</f>
        <v>150</v>
      </c>
      <c r="M50" s="181"/>
      <c r="N50" s="174">
        <f t="shared" si="1"/>
        <v>150</v>
      </c>
      <c r="O50" s="188" t="s">
        <v>139</v>
      </c>
    </row>
    <row r="51" spans="1:15" x14ac:dyDescent="0.25">
      <c r="A51" s="138" t="s">
        <v>170</v>
      </c>
      <c r="B51" s="189">
        <f>'Verify Sample &amp; Unit Costs'!B33</f>
        <v>50</v>
      </c>
      <c r="C51" s="146">
        <f>'Verify Sample &amp; Unit Costs'!B7*'Verify Sample &amp; Unit Costs'!B6+5</f>
        <v>25</v>
      </c>
      <c r="D51" s="189">
        <f>'Verify Sample &amp; Unit Costs'!B8</f>
        <v>2</v>
      </c>
      <c r="E51" s="184">
        <f>F51*F3</f>
        <v>2500</v>
      </c>
      <c r="F51" s="143">
        <f>B51*C51*D51</f>
        <v>2500</v>
      </c>
      <c r="G51" s="141"/>
      <c r="J51" s="171" t="s">
        <v>263</v>
      </c>
      <c r="K51" s="171" t="s">
        <v>53</v>
      </c>
      <c r="L51" s="171" t="s">
        <v>72</v>
      </c>
      <c r="M51" s="171" t="s">
        <v>140</v>
      </c>
      <c r="N51" s="172" t="s">
        <v>56</v>
      </c>
      <c r="O51" s="171" t="s">
        <v>57</v>
      </c>
    </row>
    <row r="52" spans="1:15" x14ac:dyDescent="0.25">
      <c r="A52" s="138" t="s">
        <v>95</v>
      </c>
      <c r="B52" s="141"/>
      <c r="C52" s="146"/>
      <c r="D52" s="141"/>
      <c r="E52" s="184">
        <f>F52*F3</f>
        <v>0</v>
      </c>
      <c r="F52" s="143"/>
      <c r="G52" s="141"/>
      <c r="J52" s="185" t="s">
        <v>58</v>
      </c>
      <c r="K52" s="190">
        <f>'Verify Sample &amp; Unit Costs'!B35</f>
        <v>0.3</v>
      </c>
      <c r="L52" s="191">
        <f>'Instructions and Inputs'!H6</f>
        <v>3</v>
      </c>
      <c r="M52" s="191">
        <v>1</v>
      </c>
      <c r="N52" s="192">
        <f t="shared" ref="N52:N64" si="2">K52*L52*M52</f>
        <v>0.89999999999999991</v>
      </c>
      <c r="O52" s="191" t="s">
        <v>59</v>
      </c>
    </row>
    <row r="53" spans="1:15" ht="24.75" x14ac:dyDescent="0.25">
      <c r="A53" s="151" t="s">
        <v>107</v>
      </c>
      <c r="B53" s="152"/>
      <c r="C53" s="153"/>
      <c r="D53" s="152"/>
      <c r="E53" s="154">
        <f>SUM(E48:E52)</f>
        <v>3971</v>
      </c>
      <c r="F53" s="155">
        <f>SUM(F48:F52)</f>
        <v>3971</v>
      </c>
      <c r="G53" s="152"/>
      <c r="J53" s="185" t="s">
        <v>141</v>
      </c>
      <c r="K53" s="190">
        <f>'Verify Sample &amp; Unit Costs'!B35</f>
        <v>0.3</v>
      </c>
      <c r="L53" s="191">
        <f>'Instructions and Inputs'!H6</f>
        <v>3</v>
      </c>
      <c r="M53" s="191">
        <v>1</v>
      </c>
      <c r="N53" s="192">
        <f t="shared" si="2"/>
        <v>0.89999999999999991</v>
      </c>
      <c r="O53" s="191" t="s">
        <v>59</v>
      </c>
    </row>
    <row r="54" spans="1:15" ht="22.5" x14ac:dyDescent="0.25">
      <c r="A54" s="133" t="s">
        <v>181</v>
      </c>
      <c r="B54" s="134"/>
      <c r="C54" s="135"/>
      <c r="D54" s="134"/>
      <c r="E54" s="136"/>
      <c r="F54" s="156"/>
      <c r="G54" s="134"/>
      <c r="J54" s="185" t="s">
        <v>142</v>
      </c>
      <c r="K54" s="190">
        <f>'Verify Sample &amp; Unit Costs'!B35</f>
        <v>0.3</v>
      </c>
      <c r="L54" s="191">
        <f>'Instructions and Inputs'!H6</f>
        <v>3</v>
      </c>
      <c r="M54" s="191">
        <v>2</v>
      </c>
      <c r="N54" s="192">
        <f t="shared" si="2"/>
        <v>1.7999999999999998</v>
      </c>
      <c r="O54" s="191" t="s">
        <v>59</v>
      </c>
    </row>
    <row r="55" spans="1:15" x14ac:dyDescent="0.25">
      <c r="A55" s="138" t="s">
        <v>108</v>
      </c>
      <c r="B55" s="141">
        <f>'Verify Sample &amp; Unit Costs'!B28</f>
        <v>40</v>
      </c>
      <c r="C55" s="146">
        <f>'Verify Sample &amp; Unit Costs'!B19*'Verify Sample &amp; Unit Costs'!B22</f>
        <v>2</v>
      </c>
      <c r="D55" s="141">
        <f>'Verify Sample &amp; Unit Costs'!B14+2</f>
        <v>3</v>
      </c>
      <c r="E55" s="143">
        <f>F55*F3</f>
        <v>240</v>
      </c>
      <c r="F55" s="143">
        <f>B55*C55*D55</f>
        <v>240</v>
      </c>
      <c r="G55" s="141"/>
      <c r="J55" s="173" t="s">
        <v>143</v>
      </c>
      <c r="K55" s="190">
        <f>'Verify Sample &amp; Unit Costs'!B35</f>
        <v>0.3</v>
      </c>
      <c r="L55" s="191">
        <f>'Instructions and Inputs'!H6</f>
        <v>3</v>
      </c>
      <c r="M55" s="191">
        <v>3</v>
      </c>
      <c r="N55" s="192">
        <f t="shared" si="2"/>
        <v>2.6999999999999997</v>
      </c>
      <c r="O55" s="191" t="s">
        <v>59</v>
      </c>
    </row>
    <row r="56" spans="1:15" x14ac:dyDescent="0.25">
      <c r="A56" s="138" t="s">
        <v>109</v>
      </c>
      <c r="B56" s="141">
        <f>'Verify Sample &amp; Unit Costs'!B29</f>
        <v>65</v>
      </c>
      <c r="C56" s="146">
        <f>'Verify Sample &amp; Unit Costs'!B20*'Verify Sample &amp; Unit Costs'!B22</f>
        <v>1</v>
      </c>
      <c r="D56" s="141">
        <f>'Verify Sample &amp; Unit Costs'!B14+2</f>
        <v>3</v>
      </c>
      <c r="E56" s="143">
        <f>F56*F3</f>
        <v>195</v>
      </c>
      <c r="F56" s="143">
        <f>B56*C56*D56</f>
        <v>195</v>
      </c>
      <c r="G56" s="141"/>
      <c r="J56" s="173" t="s">
        <v>144</v>
      </c>
      <c r="K56" s="190">
        <f>'Verify Sample &amp; Unit Costs'!B35</f>
        <v>0.3</v>
      </c>
      <c r="L56" s="191">
        <f>'Instructions and Inputs'!H6</f>
        <v>3</v>
      </c>
      <c r="M56" s="191">
        <v>1</v>
      </c>
      <c r="N56" s="192">
        <f t="shared" si="2"/>
        <v>0.89999999999999991</v>
      </c>
      <c r="O56" s="191" t="s">
        <v>59</v>
      </c>
    </row>
    <row r="57" spans="1:15" s="194" customFormat="1" ht="24.75" x14ac:dyDescent="0.25">
      <c r="A57" s="165" t="s">
        <v>110</v>
      </c>
      <c r="B57" s="166">
        <f>'Verify Sample &amp; Unit Costs'!B31</f>
        <v>150</v>
      </c>
      <c r="C57" s="167">
        <f>'Verify Sample &amp; Unit Costs'!B22</f>
        <v>1</v>
      </c>
      <c r="D57" s="166">
        <f>'Verify Sample &amp; Unit Costs'!B14</f>
        <v>1</v>
      </c>
      <c r="E57" s="193">
        <f>F57*F3</f>
        <v>150</v>
      </c>
      <c r="F57" s="193">
        <f>B57*C57*D57</f>
        <v>150</v>
      </c>
      <c r="G57" s="166"/>
      <c r="J57" s="195" t="s">
        <v>145</v>
      </c>
      <c r="K57" s="174">
        <f>'Verify Sample &amp; Unit Costs'!B35</f>
        <v>0.3</v>
      </c>
      <c r="L57" s="178">
        <f>'Instructions and Inputs'!H6</f>
        <v>3</v>
      </c>
      <c r="M57" s="196">
        <v>3</v>
      </c>
      <c r="N57" s="192">
        <f t="shared" si="2"/>
        <v>2.6999999999999997</v>
      </c>
      <c r="O57" s="191" t="s">
        <v>59</v>
      </c>
    </row>
    <row r="58" spans="1:15" ht="24.75" x14ac:dyDescent="0.25">
      <c r="A58" s="138" t="s">
        <v>150</v>
      </c>
      <c r="B58" s="141"/>
      <c r="C58" s="146"/>
      <c r="D58" s="141"/>
      <c r="E58" s="143">
        <f>F58*F3</f>
        <v>315.39999999999998</v>
      </c>
      <c r="F58" s="143">
        <f>'ODC Costs and Breakdown'!N92</f>
        <v>315.39999999999998</v>
      </c>
      <c r="G58" s="141"/>
      <c r="J58" s="185" t="s">
        <v>79</v>
      </c>
      <c r="K58" s="197">
        <f>'Verify Sample &amp; Unit Costs'!B35</f>
        <v>0.3</v>
      </c>
      <c r="L58" s="198">
        <f>'Instructions and Inputs'!H6</f>
        <v>3</v>
      </c>
      <c r="M58" s="191">
        <v>1</v>
      </c>
      <c r="N58" s="192">
        <f t="shared" si="2"/>
        <v>0.89999999999999991</v>
      </c>
      <c r="O58" s="191" t="s">
        <v>59</v>
      </c>
    </row>
    <row r="59" spans="1:15" x14ac:dyDescent="0.25">
      <c r="A59" s="138" t="s">
        <v>170</v>
      </c>
      <c r="B59" s="141">
        <f>'Verify Sample &amp; Unit Costs'!B33</f>
        <v>50</v>
      </c>
      <c r="C59" s="146">
        <f>('Verify Sample &amp; Unit Costs'!B22*'Verify Sample &amp; Unit Costs'!B21)/2+5</f>
        <v>6.5</v>
      </c>
      <c r="D59" s="141">
        <f>'Verify Sample &amp; Unit Costs'!B14</f>
        <v>1</v>
      </c>
      <c r="E59" s="143">
        <f>F59*F3</f>
        <v>325</v>
      </c>
      <c r="F59" s="199">
        <f>B59*C59*D59</f>
        <v>325</v>
      </c>
      <c r="G59" s="141"/>
      <c r="J59" s="185" t="s">
        <v>78</v>
      </c>
      <c r="K59" s="197">
        <f>'Verify Sample &amp; Unit Costs'!B35</f>
        <v>0.3</v>
      </c>
      <c r="L59" s="198">
        <f>'Instructions and Inputs'!H6</f>
        <v>3</v>
      </c>
      <c r="M59" s="191">
        <v>1</v>
      </c>
      <c r="N59" s="192">
        <f t="shared" si="2"/>
        <v>0.89999999999999991</v>
      </c>
      <c r="O59" s="191" t="s">
        <v>59</v>
      </c>
    </row>
    <row r="60" spans="1:15" x14ac:dyDescent="0.25">
      <c r="A60" s="138" t="s">
        <v>95</v>
      </c>
      <c r="B60" s="141"/>
      <c r="C60" s="146"/>
      <c r="D60" s="141"/>
      <c r="E60" s="200"/>
      <c r="F60" s="201"/>
      <c r="G60" s="141"/>
      <c r="J60" s="177" t="s">
        <v>146</v>
      </c>
      <c r="K60" s="186">
        <f>'Verify Sample &amp; Unit Costs'!B35</f>
        <v>0.3</v>
      </c>
      <c r="L60" s="178">
        <f>'Instructions and Inputs'!H6</f>
        <v>3</v>
      </c>
      <c r="M60" s="178">
        <v>8</v>
      </c>
      <c r="N60" s="192">
        <f t="shared" si="2"/>
        <v>7.1999999999999993</v>
      </c>
      <c r="O60" s="182" t="s">
        <v>62</v>
      </c>
    </row>
    <row r="61" spans="1:15" x14ac:dyDescent="0.25">
      <c r="A61" s="151" t="s">
        <v>111</v>
      </c>
      <c r="B61" s="152"/>
      <c r="C61" s="153"/>
      <c r="D61" s="152"/>
      <c r="E61" s="154">
        <f>SUM(E55:E60)</f>
        <v>1225.4000000000001</v>
      </c>
      <c r="F61" s="155">
        <f>SUM(F55:F60)</f>
        <v>1225.4000000000001</v>
      </c>
      <c r="G61" s="152"/>
      <c r="J61" s="177" t="s">
        <v>76</v>
      </c>
      <c r="K61" s="186">
        <f>'Verify Sample &amp; Unit Costs'!B35</f>
        <v>0.3</v>
      </c>
      <c r="L61" s="178">
        <f>'Instructions and Inputs'!H6</f>
        <v>3</v>
      </c>
      <c r="M61" s="178">
        <v>5</v>
      </c>
      <c r="N61" s="192">
        <f t="shared" si="2"/>
        <v>4.5</v>
      </c>
      <c r="O61" s="191" t="s">
        <v>59</v>
      </c>
    </row>
    <row r="62" spans="1:15" ht="22.5" x14ac:dyDescent="0.25">
      <c r="A62" s="133" t="s">
        <v>177</v>
      </c>
      <c r="B62" s="134"/>
      <c r="C62" s="135"/>
      <c r="D62" s="134"/>
      <c r="E62" s="136"/>
      <c r="F62" s="156"/>
      <c r="G62" s="134"/>
      <c r="J62" s="173" t="s">
        <v>147</v>
      </c>
      <c r="K62" s="186">
        <f>'Verify Sample &amp; Unit Costs'!B35</f>
        <v>0.3</v>
      </c>
      <c r="L62" s="178">
        <f>'Instructions and Inputs'!H6</f>
        <v>3</v>
      </c>
      <c r="M62" s="178">
        <v>5</v>
      </c>
      <c r="N62" s="192">
        <f t="shared" si="2"/>
        <v>4.5</v>
      </c>
      <c r="O62" s="191" t="s">
        <v>59</v>
      </c>
    </row>
    <row r="63" spans="1:15" x14ac:dyDescent="0.25">
      <c r="A63" s="138" t="s">
        <v>97</v>
      </c>
      <c r="B63" s="149">
        <f>'Verify Sample &amp; Unit Costs'!B26</f>
        <v>500</v>
      </c>
      <c r="C63" s="149"/>
      <c r="D63" s="294">
        <v>3</v>
      </c>
      <c r="E63" s="143">
        <f>F63*F3</f>
        <v>1500</v>
      </c>
      <c r="F63" s="143">
        <f>B63*D63</f>
        <v>1500</v>
      </c>
      <c r="G63" s="141"/>
      <c r="J63" s="173" t="s">
        <v>148</v>
      </c>
      <c r="K63" s="186">
        <f>'Verify Sample &amp; Unit Costs'!B35</f>
        <v>0.3</v>
      </c>
      <c r="L63" s="178">
        <f>'Instructions and Inputs'!C22*'Instructions and Inputs'!C23</f>
        <v>1</v>
      </c>
      <c r="M63" s="178">
        <v>10</v>
      </c>
      <c r="N63" s="192">
        <f t="shared" si="2"/>
        <v>3</v>
      </c>
      <c r="O63" s="191" t="s">
        <v>59</v>
      </c>
    </row>
    <row r="64" spans="1:15" ht="24.75" x14ac:dyDescent="0.25">
      <c r="A64" s="138" t="s">
        <v>98</v>
      </c>
      <c r="B64" s="149">
        <f>'Verify Sample &amp; Unit Costs'!B27</f>
        <v>8</v>
      </c>
      <c r="C64" s="149">
        <v>30</v>
      </c>
      <c r="D64" s="294">
        <v>3</v>
      </c>
      <c r="E64" s="143">
        <f>F64*F3</f>
        <v>720</v>
      </c>
      <c r="F64" s="143">
        <f>B64*C64*D64</f>
        <v>720</v>
      </c>
      <c r="G64" s="141"/>
      <c r="J64" s="173" t="s">
        <v>149</v>
      </c>
      <c r="K64" s="186">
        <f>'Verify Sample &amp; Unit Costs'!B35</f>
        <v>0.3</v>
      </c>
      <c r="L64" s="178">
        <f>'Instructions and Inputs'!H6</f>
        <v>3</v>
      </c>
      <c r="M64" s="196">
        <v>20</v>
      </c>
      <c r="N64" s="192">
        <f t="shared" si="2"/>
        <v>18</v>
      </c>
      <c r="O64" s="182"/>
    </row>
    <row r="65" spans="1:15" x14ac:dyDescent="0.25">
      <c r="A65" s="138" t="s">
        <v>99</v>
      </c>
      <c r="B65" s="149"/>
      <c r="C65" s="149"/>
      <c r="D65" s="189"/>
      <c r="E65" s="143">
        <f>F65*F3</f>
        <v>900</v>
      </c>
      <c r="F65" s="143">
        <f>(30*30)</f>
        <v>900</v>
      </c>
      <c r="G65" s="141"/>
      <c r="J65" s="202" t="s">
        <v>264</v>
      </c>
      <c r="K65" s="203"/>
      <c r="L65" s="203"/>
      <c r="M65" s="203"/>
      <c r="N65" s="204">
        <f>SUM(N38:N64,N51)</f>
        <v>304.7999999999999</v>
      </c>
      <c r="O65" s="205"/>
    </row>
    <row r="66" spans="1:15" ht="24" x14ac:dyDescent="0.25">
      <c r="A66" s="138" t="s">
        <v>150</v>
      </c>
      <c r="B66" s="149"/>
      <c r="C66" s="149"/>
      <c r="D66" s="189"/>
      <c r="E66" s="143">
        <f>F66*F3</f>
        <v>400</v>
      </c>
      <c r="F66" s="143">
        <v>400</v>
      </c>
      <c r="G66" s="141"/>
      <c r="J66" s="171" t="s">
        <v>265</v>
      </c>
      <c r="K66" s="171" t="s">
        <v>53</v>
      </c>
      <c r="L66" s="171" t="s">
        <v>113</v>
      </c>
      <c r="M66" s="171" t="s">
        <v>114</v>
      </c>
      <c r="N66" s="172" t="s">
        <v>115</v>
      </c>
      <c r="O66" s="171" t="s">
        <v>57</v>
      </c>
    </row>
    <row r="67" spans="1:15" x14ac:dyDescent="0.25">
      <c r="A67" s="138" t="s">
        <v>170</v>
      </c>
      <c r="B67" s="149">
        <f>'Verify Sample &amp; Unit Costs'!B33</f>
        <v>50</v>
      </c>
      <c r="C67" s="149">
        <v>30</v>
      </c>
      <c r="D67" s="294">
        <v>3</v>
      </c>
      <c r="E67" s="143">
        <f>F67*F3</f>
        <v>4500</v>
      </c>
      <c r="F67" s="143">
        <f>B67*C67*D67</f>
        <v>4500</v>
      </c>
      <c r="G67" s="141"/>
      <c r="J67" s="175" t="s">
        <v>116</v>
      </c>
      <c r="K67" s="206">
        <f>'Verify Sample &amp; Unit Costs'!B39</f>
        <v>1</v>
      </c>
      <c r="L67" s="207">
        <f>'Verify Sample &amp; Unit Costs'!B21</f>
        <v>3</v>
      </c>
      <c r="M67" s="198">
        <f>L67*'Verify Sample &amp; Unit Costs'!B22</f>
        <v>3</v>
      </c>
      <c r="N67" s="208">
        <f t="shared" ref="N67:N77" si="3">K67*L67*M67</f>
        <v>9</v>
      </c>
      <c r="O67" s="180"/>
    </row>
    <row r="68" spans="1:15" x14ac:dyDescent="0.25">
      <c r="A68" s="138" t="s">
        <v>95</v>
      </c>
      <c r="B68" s="141"/>
      <c r="C68" s="146"/>
      <c r="D68" s="141"/>
      <c r="E68" s="143"/>
      <c r="F68" s="143"/>
      <c r="G68" s="141"/>
      <c r="J68" s="175" t="s">
        <v>38</v>
      </c>
      <c r="K68" s="206">
        <f>'Verify Sample &amp; Unit Costs'!B40</f>
        <v>0.2</v>
      </c>
      <c r="L68" s="207">
        <f>'Verify Sample &amp; Unit Costs'!B21</f>
        <v>3</v>
      </c>
      <c r="M68" s="198">
        <f>L68*'Verify Sample &amp; Unit Costs'!B22</f>
        <v>3</v>
      </c>
      <c r="N68" s="208">
        <f t="shared" si="3"/>
        <v>1.8000000000000003</v>
      </c>
      <c r="O68" s="180"/>
    </row>
    <row r="69" spans="1:15" x14ac:dyDescent="0.25">
      <c r="A69" s="151" t="s">
        <v>112</v>
      </c>
      <c r="B69" s="152"/>
      <c r="C69" s="153"/>
      <c r="D69" s="152"/>
      <c r="E69" s="154">
        <f>SUM(E63:E68)</f>
        <v>8020</v>
      </c>
      <c r="F69" s="155">
        <f>SUM(F63:F68)</f>
        <v>8020</v>
      </c>
      <c r="G69" s="152"/>
      <c r="J69" s="175" t="s">
        <v>67</v>
      </c>
      <c r="K69" s="206">
        <f>'Verify Sample &amp; Unit Costs'!B40</f>
        <v>0.2</v>
      </c>
      <c r="L69" s="207">
        <f>'Verify Sample &amp; Unit Costs'!B21</f>
        <v>3</v>
      </c>
      <c r="M69" s="198">
        <f>L69*'Verify Sample &amp; Unit Costs'!B22</f>
        <v>3</v>
      </c>
      <c r="N69" s="208">
        <f t="shared" si="3"/>
        <v>1.8000000000000003</v>
      </c>
      <c r="O69" s="180"/>
    </row>
    <row r="70" spans="1:15" x14ac:dyDescent="0.25">
      <c r="A70" s="209" t="s">
        <v>188</v>
      </c>
      <c r="B70" s="210"/>
      <c r="C70" s="211"/>
      <c r="D70" s="210"/>
      <c r="E70" s="212">
        <f>SUM(E69+E61+E53+E46+E37+E33+E23)</f>
        <v>31334.2</v>
      </c>
      <c r="F70" s="212">
        <f>SUM(F69+F61+F53+F46+F37+F33+R13+F23)</f>
        <v>31334.2</v>
      </c>
      <c r="G70" s="210"/>
      <c r="J70" s="213" t="s">
        <v>68</v>
      </c>
      <c r="K70" s="206">
        <f>'Verify Sample &amp; Unit Costs'!B40</f>
        <v>0.2</v>
      </c>
      <c r="L70" s="214">
        <f>'Verify Sample &amp; Unit Costs'!B21</f>
        <v>3</v>
      </c>
      <c r="M70" s="198">
        <f>L70*'Verify Sample &amp; Unit Costs'!B22</f>
        <v>3</v>
      </c>
      <c r="N70" s="208">
        <f t="shared" si="3"/>
        <v>1.8000000000000003</v>
      </c>
      <c r="O70" s="180"/>
    </row>
    <row r="71" spans="1:15" x14ac:dyDescent="0.25">
      <c r="J71" s="213" t="s">
        <v>117</v>
      </c>
      <c r="K71" s="206">
        <f>'Verify Sample &amp; Unit Costs'!B40</f>
        <v>0.2</v>
      </c>
      <c r="L71" s="214">
        <f>'Verify Sample &amp; Unit Costs'!B21</f>
        <v>3</v>
      </c>
      <c r="M71" s="198">
        <f>L71*'Verify Sample &amp; Unit Costs'!B22</f>
        <v>3</v>
      </c>
      <c r="N71" s="208">
        <f t="shared" si="3"/>
        <v>1.8000000000000003</v>
      </c>
      <c r="O71" s="180"/>
    </row>
    <row r="72" spans="1:15" x14ac:dyDescent="0.25">
      <c r="J72" s="185" t="s">
        <v>39</v>
      </c>
      <c r="K72" s="206">
        <f>'Verify Sample &amp; Unit Costs'!B40</f>
        <v>0.2</v>
      </c>
      <c r="L72" s="214">
        <f>'Verify Sample &amp; Unit Costs'!B21</f>
        <v>3</v>
      </c>
      <c r="M72" s="198">
        <f>L72*'Verify Sample &amp; Unit Costs'!B22</f>
        <v>3</v>
      </c>
      <c r="N72" s="208">
        <f t="shared" si="3"/>
        <v>1.8000000000000003</v>
      </c>
      <c r="O72" s="180"/>
    </row>
    <row r="73" spans="1:15" x14ac:dyDescent="0.25">
      <c r="J73" s="185" t="s">
        <v>40</v>
      </c>
      <c r="K73" s="206">
        <f>'Verify Sample &amp; Unit Costs'!B40</f>
        <v>0.2</v>
      </c>
      <c r="L73" s="214">
        <v>1</v>
      </c>
      <c r="M73" s="198">
        <f>'Verify Sample &amp; Unit Costs'!B22</f>
        <v>1</v>
      </c>
      <c r="N73" s="208">
        <f t="shared" si="3"/>
        <v>0.2</v>
      </c>
      <c r="O73" s="180"/>
    </row>
    <row r="74" spans="1:15" x14ac:dyDescent="0.25">
      <c r="J74" s="185" t="s">
        <v>41</v>
      </c>
      <c r="K74" s="206">
        <f>'Verify Sample &amp; Unit Costs'!B40</f>
        <v>0.2</v>
      </c>
      <c r="L74" s="214">
        <v>1</v>
      </c>
      <c r="M74" s="198">
        <v>5</v>
      </c>
      <c r="N74" s="208">
        <f t="shared" si="3"/>
        <v>1</v>
      </c>
      <c r="O74" s="180"/>
    </row>
    <row r="75" spans="1:15" x14ac:dyDescent="0.25">
      <c r="J75" s="175" t="s">
        <v>42</v>
      </c>
      <c r="K75" s="206">
        <f>'Verify Sample &amp; Unit Costs'!B43</f>
        <v>2</v>
      </c>
      <c r="L75" s="214">
        <f>'Verify Sample &amp; Unit Costs'!B21</f>
        <v>3</v>
      </c>
      <c r="M75" s="198">
        <f>L75*'Verify Sample &amp; Unit Costs'!B22</f>
        <v>3</v>
      </c>
      <c r="N75" s="208">
        <f t="shared" si="3"/>
        <v>18</v>
      </c>
      <c r="O75" s="180"/>
    </row>
    <row r="76" spans="1:15" x14ac:dyDescent="0.25">
      <c r="J76" s="175" t="s">
        <v>43</v>
      </c>
      <c r="K76" s="206">
        <f>'Verify Sample &amp; Unit Costs'!B40</f>
        <v>0.2</v>
      </c>
      <c r="L76" s="214">
        <v>8</v>
      </c>
      <c r="M76" s="198">
        <f>L76*'Verify Sample &amp; Unit Costs'!B22</f>
        <v>8</v>
      </c>
      <c r="N76" s="208">
        <f t="shared" si="3"/>
        <v>12.8</v>
      </c>
      <c r="O76" s="180"/>
    </row>
    <row r="77" spans="1:15" x14ac:dyDescent="0.25">
      <c r="J77" s="185" t="s">
        <v>44</v>
      </c>
      <c r="K77" s="206">
        <f>'Verify Sample &amp; Unit Costs'!B44</f>
        <v>10</v>
      </c>
      <c r="L77" s="214">
        <v>1</v>
      </c>
      <c r="M77" s="198">
        <f>'Verify Sample &amp; Unit Costs'!B22</f>
        <v>1</v>
      </c>
      <c r="N77" s="208">
        <f t="shared" si="3"/>
        <v>10</v>
      </c>
      <c r="O77" s="180"/>
    </row>
    <row r="78" spans="1:15" ht="24.75" x14ac:dyDescent="0.25">
      <c r="J78" s="185" t="s">
        <v>45</v>
      </c>
      <c r="K78" s="206">
        <f>'Verify Sample &amp; Unit Costs'!B45</f>
        <v>1</v>
      </c>
      <c r="L78" s="214">
        <f>'Verify Sample &amp; Unit Costs'!B13/'Verify Sample &amp; Unit Costs'!B22</f>
        <v>1</v>
      </c>
      <c r="M78" s="198">
        <f>L78*'Verify Sample &amp; Unit Costs'!B22</f>
        <v>1</v>
      </c>
      <c r="N78" s="208">
        <f>K78*M78</f>
        <v>1</v>
      </c>
      <c r="O78" s="180"/>
    </row>
    <row r="79" spans="1:15" ht="24.75" x14ac:dyDescent="0.25">
      <c r="J79" s="175" t="s">
        <v>46</v>
      </c>
      <c r="K79" s="206">
        <f>'Verify Sample &amp; Unit Costs'!B50</f>
        <v>10</v>
      </c>
      <c r="L79" s="214">
        <f>'Verify Sample &amp; Unit Costs'!B19</f>
        <v>2</v>
      </c>
      <c r="M79" s="198">
        <f>L79*'Verify Sample &amp; Unit Costs'!B22</f>
        <v>2</v>
      </c>
      <c r="N79" s="208">
        <f>K79*M79</f>
        <v>20</v>
      </c>
      <c r="O79" s="215"/>
    </row>
    <row r="80" spans="1:15" ht="24.75" x14ac:dyDescent="0.25">
      <c r="J80" s="175" t="s">
        <v>48</v>
      </c>
      <c r="K80" s="206">
        <f>'Verify Sample &amp; Unit Costs'!B50</f>
        <v>10</v>
      </c>
      <c r="L80" s="207">
        <f>'Verify Sample &amp; Unit Costs'!B20</f>
        <v>1</v>
      </c>
      <c r="M80" s="198">
        <f>L80*'Verify Sample &amp; Unit Costs'!B22</f>
        <v>1</v>
      </c>
      <c r="N80" s="208">
        <f>K80*M80</f>
        <v>10</v>
      </c>
      <c r="O80" s="215"/>
    </row>
    <row r="81" spans="10:15" ht="15.75" thickBot="1" x14ac:dyDescent="0.3">
      <c r="J81" s="175" t="s">
        <v>118</v>
      </c>
      <c r="K81" s="206">
        <v>10</v>
      </c>
      <c r="L81" s="207">
        <v>3</v>
      </c>
      <c r="M81" s="198">
        <f>(L81*'Verify Sample &amp; Unit Costs'!B22)</f>
        <v>3</v>
      </c>
      <c r="N81" s="208">
        <f>K81*M81</f>
        <v>30</v>
      </c>
      <c r="O81" s="215"/>
    </row>
    <row r="82" spans="10:15" ht="25.5" thickBot="1" x14ac:dyDescent="0.3">
      <c r="J82" s="216" t="s">
        <v>266</v>
      </c>
      <c r="K82" s="217" t="s">
        <v>119</v>
      </c>
      <c r="L82" s="218" t="s">
        <v>120</v>
      </c>
      <c r="M82" s="219" t="s">
        <v>121</v>
      </c>
      <c r="N82" s="220" t="s">
        <v>56</v>
      </c>
      <c r="O82" s="221" t="s">
        <v>57</v>
      </c>
    </row>
    <row r="83" spans="10:15" x14ac:dyDescent="0.25">
      <c r="J83" s="222" t="s">
        <v>122</v>
      </c>
      <c r="K83" s="223">
        <f>'Verify Sample &amp; Unit Costs'!B35</f>
        <v>0.3</v>
      </c>
      <c r="L83" s="224">
        <v>1</v>
      </c>
      <c r="M83" s="225">
        <f>'Verify Sample &amp; Unit Costs'!B22*'Verify Sample &amp; Unit Costs'!B21</f>
        <v>3</v>
      </c>
      <c r="N83" s="226">
        <f t="shared" ref="N83:N91" si="4">(K83*L83)*M83</f>
        <v>0.89999999999999991</v>
      </c>
      <c r="O83" s="222" t="s">
        <v>123</v>
      </c>
    </row>
    <row r="84" spans="10:15" x14ac:dyDescent="0.25">
      <c r="J84" s="177" t="s">
        <v>124</v>
      </c>
      <c r="K84" s="227">
        <f>'Verify Sample &amp; Unit Costs'!B35</f>
        <v>0.3</v>
      </c>
      <c r="L84" s="228">
        <v>2</v>
      </c>
      <c r="M84" s="229">
        <f>'Verify Sample &amp; Unit Costs'!B16</f>
        <v>1</v>
      </c>
      <c r="N84" s="230">
        <f t="shared" si="4"/>
        <v>0.6</v>
      </c>
      <c r="O84" s="188" t="s">
        <v>80</v>
      </c>
    </row>
    <row r="85" spans="10:15" x14ac:dyDescent="0.25">
      <c r="J85" s="191" t="s">
        <v>125</v>
      </c>
      <c r="K85" s="227">
        <f>'Verify Sample &amp; Unit Costs'!B35</f>
        <v>0.3</v>
      </c>
      <c r="L85" s="228">
        <v>1</v>
      </c>
      <c r="M85" s="229">
        <f>'Verify Sample &amp; Unit Costs'!B22*'Verify Sample &amp; Unit Costs'!B21</f>
        <v>3</v>
      </c>
      <c r="N85" s="230">
        <f t="shared" si="4"/>
        <v>0.89999999999999991</v>
      </c>
      <c r="O85" s="231" t="s">
        <v>123</v>
      </c>
    </row>
    <row r="86" spans="10:15" ht="48.75" x14ac:dyDescent="0.25">
      <c r="J86" s="173" t="s">
        <v>126</v>
      </c>
      <c r="K86" s="227">
        <f>'Verify Sample &amp; Unit Costs'!B35</f>
        <v>0.3</v>
      </c>
      <c r="L86" s="232">
        <v>11</v>
      </c>
      <c r="M86" s="229">
        <f>(2*'Verify Sample &amp; Unit Costs'!B21)*'Verify Sample &amp; Unit Costs'!B22</f>
        <v>6</v>
      </c>
      <c r="N86" s="230">
        <f t="shared" si="4"/>
        <v>19.799999999999997</v>
      </c>
      <c r="O86" s="188" t="s">
        <v>127</v>
      </c>
    </row>
    <row r="87" spans="10:15" ht="24.75" x14ac:dyDescent="0.25">
      <c r="J87" s="173" t="s">
        <v>128</v>
      </c>
      <c r="K87" s="227">
        <f>'Verify Sample &amp; Unit Costs'!B39</f>
        <v>1</v>
      </c>
      <c r="L87" s="228">
        <v>5</v>
      </c>
      <c r="M87" s="229">
        <f>'Verify Sample &amp; Unit Costs'!B21*'Verify Sample &amp; Unit Costs'!B22</f>
        <v>3</v>
      </c>
      <c r="N87" s="230">
        <f t="shared" si="4"/>
        <v>15</v>
      </c>
      <c r="O87" s="188" t="s">
        <v>129</v>
      </c>
    </row>
    <row r="88" spans="10:15" ht="24.75" x14ac:dyDescent="0.25">
      <c r="J88" s="173" t="s">
        <v>130</v>
      </c>
      <c r="K88" s="233">
        <f>'Verify Sample &amp; Unit Costs'!B35</f>
        <v>0.3</v>
      </c>
      <c r="L88" s="234">
        <v>1</v>
      </c>
      <c r="M88" s="235">
        <v>20</v>
      </c>
      <c r="N88" s="230">
        <f t="shared" si="4"/>
        <v>6</v>
      </c>
      <c r="O88" s="188" t="s">
        <v>131</v>
      </c>
    </row>
    <row r="89" spans="10:15" x14ac:dyDescent="0.25">
      <c r="J89" s="173" t="s">
        <v>78</v>
      </c>
      <c r="K89" s="233">
        <f>'Verify Sample &amp; Unit Costs'!B35</f>
        <v>0.3</v>
      </c>
      <c r="L89" s="232">
        <v>3</v>
      </c>
      <c r="M89" s="229">
        <f>'Verify Sample &amp; Unit Costs'!B16</f>
        <v>1</v>
      </c>
      <c r="N89" s="230">
        <f t="shared" si="4"/>
        <v>0.89999999999999991</v>
      </c>
      <c r="O89" s="188" t="s">
        <v>80</v>
      </c>
    </row>
    <row r="90" spans="10:15" ht="24.75" x14ac:dyDescent="0.25">
      <c r="J90" s="173" t="s">
        <v>132</v>
      </c>
      <c r="K90" s="227">
        <f>'Verify Sample &amp; Unit Costs'!B35</f>
        <v>0.3</v>
      </c>
      <c r="L90" s="232">
        <v>1</v>
      </c>
      <c r="M90" s="229">
        <f>'Verify Sample &amp; Unit Costs'!B16</f>
        <v>1</v>
      </c>
      <c r="N90" s="230">
        <f t="shared" si="4"/>
        <v>0.3</v>
      </c>
      <c r="O90" s="188" t="s">
        <v>80</v>
      </c>
    </row>
    <row r="91" spans="10:15" x14ac:dyDescent="0.25">
      <c r="J91" s="173" t="s">
        <v>133</v>
      </c>
      <c r="K91" s="233">
        <f>'Verify Sample &amp; Unit Costs'!B35</f>
        <v>0.3</v>
      </c>
      <c r="L91" s="234">
        <v>10</v>
      </c>
      <c r="M91" s="235">
        <v>50</v>
      </c>
      <c r="N91" s="230">
        <f t="shared" si="4"/>
        <v>150</v>
      </c>
      <c r="O91" s="188" t="s">
        <v>134</v>
      </c>
    </row>
    <row r="92" spans="10:15" x14ac:dyDescent="0.25">
      <c r="J92" s="236" t="s">
        <v>153</v>
      </c>
      <c r="K92" s="236"/>
      <c r="L92" s="237"/>
      <c r="M92" s="238"/>
      <c r="N92" s="239">
        <f>SUM(N83:N91)+SUM(N67:N81)</f>
        <v>315.39999999999998</v>
      </c>
      <c r="O92" s="240"/>
    </row>
  </sheetData>
  <sheetProtection algorithmName="SHA-512" hashValue="Oy0hrdoQeXrkdXukruaYg4WOwjYCaDGVpStROV5Xm3TV/RGpFderOquq51CGtD0XnFz5VyO7x88RjILlujg1jw==" saltValue="3iwquSsSzxZoQVj0hvZU+Q==" spinCount="100000" sheet="1" objects="1" scenarios="1" selectLockedCells="1"/>
  <mergeCells count="2">
    <mergeCell ref="A1:G1"/>
    <mergeCell ref="H6:O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topLeftCell="A31" workbookViewId="0">
      <selection activeCell="B18" sqref="B18:B25"/>
    </sheetView>
  </sheetViews>
  <sheetFormatPr defaultRowHeight="15" x14ac:dyDescent="0.25"/>
  <sheetData>
    <row r="2" spans="1:2" x14ac:dyDescent="0.25">
      <c r="A2" t="s">
        <v>214</v>
      </c>
      <c r="B2">
        <v>1</v>
      </c>
    </row>
    <row r="3" spans="1:2" x14ac:dyDescent="0.25">
      <c r="B3">
        <v>2</v>
      </c>
    </row>
    <row r="4" spans="1:2" x14ac:dyDescent="0.25">
      <c r="B4">
        <v>3</v>
      </c>
    </row>
    <row r="6" spans="1:2" x14ac:dyDescent="0.25">
      <c r="A6" t="s">
        <v>215</v>
      </c>
      <c r="B6">
        <v>1</v>
      </c>
    </row>
    <row r="7" spans="1:2" x14ac:dyDescent="0.25">
      <c r="B7">
        <v>2</v>
      </c>
    </row>
    <row r="8" spans="1:2" x14ac:dyDescent="0.25">
      <c r="B8">
        <v>3</v>
      </c>
    </row>
    <row r="10" spans="1:2" x14ac:dyDescent="0.25">
      <c r="A10" t="s">
        <v>220</v>
      </c>
    </row>
    <row r="11" spans="1:2" x14ac:dyDescent="0.25">
      <c r="B11">
        <v>1</v>
      </c>
    </row>
    <row r="12" spans="1:2" x14ac:dyDescent="0.25">
      <c r="B12">
        <v>2</v>
      </c>
    </row>
    <row r="13" spans="1:2" x14ac:dyDescent="0.25">
      <c r="B13">
        <v>3</v>
      </c>
    </row>
    <row r="14" spans="1:2" x14ac:dyDescent="0.25">
      <c r="B14">
        <v>4</v>
      </c>
    </row>
    <row r="15" spans="1:2" x14ac:dyDescent="0.25">
      <c r="B15">
        <v>5</v>
      </c>
    </row>
    <row r="16" spans="1:2" x14ac:dyDescent="0.25">
      <c r="B16">
        <v>6</v>
      </c>
    </row>
    <row r="17" spans="2:2" x14ac:dyDescent="0.25">
      <c r="B17">
        <v>7</v>
      </c>
    </row>
    <row r="18" spans="2:2" x14ac:dyDescent="0.25">
      <c r="B18">
        <v>8</v>
      </c>
    </row>
    <row r="19" spans="2:2" x14ac:dyDescent="0.25">
      <c r="B19">
        <v>9</v>
      </c>
    </row>
    <row r="20" spans="2:2" x14ac:dyDescent="0.25">
      <c r="B20">
        <v>10</v>
      </c>
    </row>
    <row r="21" spans="2:2" x14ac:dyDescent="0.25">
      <c r="B21">
        <v>11</v>
      </c>
    </row>
    <row r="22" spans="2:2" x14ac:dyDescent="0.25">
      <c r="B22">
        <v>12</v>
      </c>
    </row>
    <row r="23" spans="2:2" x14ac:dyDescent="0.25">
      <c r="B23">
        <v>13</v>
      </c>
    </row>
    <row r="24" spans="2:2" x14ac:dyDescent="0.25">
      <c r="B24">
        <v>14</v>
      </c>
    </row>
    <row r="25" spans="2:2" x14ac:dyDescent="0.25">
      <c r="B25">
        <v>15</v>
      </c>
    </row>
    <row r="27" spans="2:2" x14ac:dyDescent="0.25">
      <c r="B27" t="s">
        <v>225</v>
      </c>
    </row>
    <row r="28" spans="2:2" x14ac:dyDescent="0.25">
      <c r="B28" t="s">
        <v>226</v>
      </c>
    </row>
    <row r="35" spans="2:11" x14ac:dyDescent="0.25">
      <c r="B35" s="71" t="s">
        <v>216</v>
      </c>
      <c r="C35" s="58" t="s">
        <v>217</v>
      </c>
      <c r="D35" s="58" t="s">
        <v>200</v>
      </c>
      <c r="E35" s="63"/>
      <c r="F35" s="58"/>
      <c r="G35" s="58"/>
      <c r="H35" s="58"/>
      <c r="I35" s="58" t="s">
        <v>227</v>
      </c>
      <c r="J35" s="58"/>
      <c r="K35" s="58"/>
    </row>
    <row r="36" spans="2:11" x14ac:dyDescent="0.25">
      <c r="B36" s="70">
        <v>1</v>
      </c>
      <c r="C36" s="64">
        <v>5</v>
      </c>
      <c r="D36" s="58">
        <v>8</v>
      </c>
      <c r="E36" s="63"/>
      <c r="F36" s="58"/>
      <c r="G36" s="58"/>
      <c r="H36" s="58"/>
      <c r="I36" s="69">
        <v>4</v>
      </c>
      <c r="J36" s="58"/>
      <c r="K36" s="58"/>
    </row>
    <row r="37" spans="2:11" x14ac:dyDescent="0.25">
      <c r="B37" s="70">
        <v>1</v>
      </c>
      <c r="C37" s="65" t="s">
        <v>218</v>
      </c>
      <c r="D37" s="58">
        <v>6</v>
      </c>
      <c r="E37" s="63"/>
      <c r="F37" s="58"/>
      <c r="G37" s="58"/>
      <c r="H37" s="58"/>
      <c r="I37" s="69">
        <v>6</v>
      </c>
      <c r="J37" s="58"/>
      <c r="K37" s="58"/>
    </row>
    <row r="38" spans="2:11" x14ac:dyDescent="0.25">
      <c r="B38" s="70">
        <v>1</v>
      </c>
      <c r="C38" s="65" t="s">
        <v>219</v>
      </c>
      <c r="D38" s="58">
        <v>5</v>
      </c>
      <c r="E38" s="63"/>
      <c r="F38" s="58"/>
      <c r="G38" s="58"/>
      <c r="H38" s="58"/>
      <c r="I38" s="69">
        <v>8</v>
      </c>
      <c r="J38" s="58"/>
      <c r="K38" s="58"/>
    </row>
    <row r="39" spans="2:11" x14ac:dyDescent="0.25">
      <c r="B39" s="70">
        <v>2</v>
      </c>
      <c r="C39" s="64">
        <v>5</v>
      </c>
      <c r="D39" s="58">
        <v>5</v>
      </c>
      <c r="E39" s="63"/>
      <c r="F39" s="58"/>
      <c r="G39" s="58"/>
      <c r="H39" s="58"/>
      <c r="I39" s="69">
        <v>8</v>
      </c>
      <c r="J39" s="58"/>
      <c r="K39" s="58"/>
    </row>
    <row r="40" spans="2:11" x14ac:dyDescent="0.25">
      <c r="B40" s="70">
        <v>2</v>
      </c>
      <c r="C40" s="65" t="s">
        <v>218</v>
      </c>
      <c r="D40" s="58">
        <v>4</v>
      </c>
      <c r="E40" s="63"/>
      <c r="F40" s="58"/>
      <c r="G40" s="58"/>
      <c r="H40" s="58"/>
      <c r="I40" s="69">
        <v>10</v>
      </c>
      <c r="J40" s="58"/>
      <c r="K40" s="58"/>
    </row>
    <row r="41" spans="2:11" x14ac:dyDescent="0.25">
      <c r="B41" s="70">
        <v>2</v>
      </c>
      <c r="C41" s="65" t="s">
        <v>219</v>
      </c>
      <c r="D41" s="58">
        <v>3</v>
      </c>
      <c r="E41" s="63"/>
      <c r="F41" s="58"/>
      <c r="G41" s="58"/>
      <c r="H41" s="58"/>
      <c r="I41" s="69">
        <v>12</v>
      </c>
      <c r="J41" s="58"/>
      <c r="K41" s="58"/>
    </row>
    <row r="42" spans="2:11" x14ac:dyDescent="0.25">
      <c r="B42" s="70">
        <v>3</v>
      </c>
      <c r="C42" s="64">
        <v>5</v>
      </c>
      <c r="D42" s="58">
        <v>3</v>
      </c>
      <c r="E42" s="63"/>
      <c r="F42" s="58"/>
      <c r="G42" s="58"/>
      <c r="H42" s="58"/>
      <c r="I42" s="69">
        <v>14</v>
      </c>
      <c r="J42" s="58"/>
      <c r="K42" s="58"/>
    </row>
    <row r="43" spans="2:11" x14ac:dyDescent="0.25">
      <c r="B43" s="70">
        <v>3</v>
      </c>
      <c r="C43" s="65" t="s">
        <v>218</v>
      </c>
      <c r="D43" s="58">
        <v>2</v>
      </c>
      <c r="E43" s="63"/>
      <c r="F43" s="58"/>
      <c r="G43" s="58"/>
      <c r="H43" s="58"/>
      <c r="I43" s="69">
        <v>16</v>
      </c>
      <c r="J43" s="58"/>
      <c r="K43" s="58"/>
    </row>
    <row r="44" spans="2:11" x14ac:dyDescent="0.25">
      <c r="B44" s="70">
        <v>3</v>
      </c>
      <c r="C44" s="65" t="s">
        <v>219</v>
      </c>
      <c r="D44" s="58">
        <v>2</v>
      </c>
      <c r="E44" s="63"/>
      <c r="F44" s="58"/>
      <c r="G44" s="58"/>
      <c r="H44" s="58"/>
      <c r="I44" s="69">
        <v>18</v>
      </c>
      <c r="J44" s="58"/>
      <c r="K44" s="58"/>
    </row>
    <row r="45" spans="2:11" x14ac:dyDescent="0.25">
      <c r="B45" s="70"/>
      <c r="C45" s="58"/>
      <c r="D45" s="58"/>
      <c r="E45" s="63"/>
      <c r="F45" s="58"/>
      <c r="G45" s="58"/>
      <c r="H45" s="58"/>
      <c r="I45" s="58"/>
      <c r="J45" s="58"/>
      <c r="K45" s="58"/>
    </row>
    <row r="48" spans="2:11" x14ac:dyDescent="0.25">
      <c r="B48" s="67" t="s">
        <v>155</v>
      </c>
      <c r="C48" s="72" t="s">
        <v>231</v>
      </c>
      <c r="D48" s="70">
        <v>800</v>
      </c>
      <c r="E48" s="56">
        <v>1000</v>
      </c>
    </row>
    <row r="49" spans="2:5" x14ac:dyDescent="0.25">
      <c r="B49" s="67" t="s">
        <v>203</v>
      </c>
      <c r="C49" s="72" t="s">
        <v>232</v>
      </c>
      <c r="D49" s="70">
        <v>10</v>
      </c>
      <c r="E49" s="56">
        <v>5</v>
      </c>
    </row>
    <row r="50" spans="2:5" x14ac:dyDescent="0.25">
      <c r="B50" s="67" t="s">
        <v>202</v>
      </c>
      <c r="C50" s="71">
        <v>4</v>
      </c>
      <c r="D50" s="70">
        <v>4</v>
      </c>
      <c r="E50" s="56">
        <v>4</v>
      </c>
    </row>
    <row r="51" spans="2:5" x14ac:dyDescent="0.25">
      <c r="B51" s="67" t="s">
        <v>207</v>
      </c>
      <c r="C51" s="71">
        <v>5</v>
      </c>
      <c r="D51" s="70">
        <v>5</v>
      </c>
      <c r="E51" s="56">
        <v>5</v>
      </c>
    </row>
    <row r="52" spans="2:5" x14ac:dyDescent="0.25">
      <c r="B52" s="67" t="s">
        <v>229</v>
      </c>
      <c r="C52" s="71">
        <v>20</v>
      </c>
      <c r="D52" s="70">
        <v>20</v>
      </c>
      <c r="E52" s="56">
        <v>20</v>
      </c>
    </row>
    <row r="53" spans="2:5" x14ac:dyDescent="0.25">
      <c r="B53" s="67" t="s">
        <v>230</v>
      </c>
      <c r="C53" s="71">
        <v>1600</v>
      </c>
      <c r="D53" s="70">
        <v>1600</v>
      </c>
      <c r="E53" s="56">
        <v>2000</v>
      </c>
    </row>
    <row r="54" spans="2:5" x14ac:dyDescent="0.25">
      <c r="B54" s="67" t="s">
        <v>163</v>
      </c>
      <c r="C54" s="71">
        <v>16</v>
      </c>
      <c r="D54" s="70">
        <v>16</v>
      </c>
      <c r="E54" s="56">
        <v>20</v>
      </c>
    </row>
    <row r="55" spans="2:5" x14ac:dyDescent="0.25">
      <c r="B55" s="67" t="s">
        <v>200</v>
      </c>
      <c r="C55" s="71">
        <v>5</v>
      </c>
      <c r="D55" s="70">
        <v>5</v>
      </c>
      <c r="E55" s="56">
        <v>5</v>
      </c>
    </row>
    <row r="56" spans="2:5" ht="15.75" thickBot="1" x14ac:dyDescent="0.3">
      <c r="B56" s="68" t="s">
        <v>198</v>
      </c>
      <c r="C56" s="71">
        <v>160</v>
      </c>
      <c r="D56" s="70">
        <v>40</v>
      </c>
      <c r="E56" s="56">
        <v>100</v>
      </c>
    </row>
    <row r="57" spans="2:5" x14ac:dyDescent="0.25">
      <c r="B57" s="71"/>
      <c r="C57" s="73">
        <v>82157</v>
      </c>
      <c r="D57" s="74">
        <v>81841</v>
      </c>
      <c r="E57" s="75">
        <v>91949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" sqref="D1:D4"/>
    </sheetView>
  </sheetViews>
  <sheetFormatPr defaultRowHeight="15" x14ac:dyDescent="0.25"/>
  <cols>
    <col min="1" max="1" width="23.7109375" customWidth="1"/>
    <col min="3" max="3" width="38" customWidth="1"/>
  </cols>
  <sheetData>
    <row r="1" spans="1:4" x14ac:dyDescent="0.25">
      <c r="A1" t="s">
        <v>184</v>
      </c>
      <c r="B1">
        <v>420</v>
      </c>
      <c r="C1" s="302" t="s">
        <v>155</v>
      </c>
      <c r="D1" s="303">
        <f>B1*B2*B3*B4</f>
        <v>1680</v>
      </c>
    </row>
    <row r="2" spans="1:4" x14ac:dyDescent="0.25">
      <c r="A2" t="s">
        <v>183</v>
      </c>
      <c r="B2">
        <v>2</v>
      </c>
      <c r="C2" s="302"/>
      <c r="D2" s="303"/>
    </row>
    <row r="3" spans="1:4" x14ac:dyDescent="0.25">
      <c r="A3" t="s">
        <v>182</v>
      </c>
      <c r="B3">
        <v>1</v>
      </c>
      <c r="C3" s="302"/>
      <c r="D3" s="303"/>
    </row>
    <row r="4" spans="1:4" x14ac:dyDescent="0.25">
      <c r="A4" t="s">
        <v>154</v>
      </c>
      <c r="B4">
        <v>2</v>
      </c>
      <c r="C4" s="302"/>
      <c r="D4" s="303"/>
    </row>
    <row r="5" spans="1:4" x14ac:dyDescent="0.25">
      <c r="A5" t="s">
        <v>156</v>
      </c>
      <c r="B5">
        <v>40</v>
      </c>
      <c r="C5" t="s">
        <v>157</v>
      </c>
      <c r="D5">
        <f>ROUNDUP(B1/B5,0)</f>
        <v>11</v>
      </c>
    </row>
    <row r="6" spans="1:4" x14ac:dyDescent="0.25">
      <c r="A6" t="s">
        <v>158</v>
      </c>
      <c r="B6">
        <v>3</v>
      </c>
      <c r="C6" s="51" t="s">
        <v>160</v>
      </c>
      <c r="D6" s="51">
        <f>B6+B7</f>
        <v>4</v>
      </c>
    </row>
    <row r="7" spans="1:4" x14ac:dyDescent="0.25">
      <c r="A7" t="s">
        <v>159</v>
      </c>
      <c r="B7">
        <v>1</v>
      </c>
      <c r="C7" s="51" t="s">
        <v>163</v>
      </c>
      <c r="D7" s="52">
        <f>ROUNDUP((B5/B8)+2,0)</f>
        <v>5</v>
      </c>
    </row>
    <row r="8" spans="1:4" x14ac:dyDescent="0.25">
      <c r="A8" t="s">
        <v>161</v>
      </c>
      <c r="B8">
        <v>15</v>
      </c>
      <c r="C8" t="s">
        <v>162</v>
      </c>
      <c r="D8" s="53">
        <f>ROUNDUP((D1/(B6*B8)/D7),0)</f>
        <v>8</v>
      </c>
    </row>
  </sheetData>
  <mergeCells count="2">
    <mergeCell ref="C1:C4"/>
    <mergeCell ref="D1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and Inputs</vt:lpstr>
      <vt:lpstr>Verify Sample &amp; Unit Costs</vt:lpstr>
      <vt:lpstr>ODC Costs and Breakdown</vt:lpstr>
      <vt:lpstr>Numbers sheet</vt:lpstr>
      <vt:lpstr>Sheet4</vt:lpstr>
    </vt:vector>
  </TitlesOfParts>
  <Company>RTI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Betts, Kellie</dc:creator>
  <cp:lastModifiedBy>Bowers, Stacy</cp:lastModifiedBy>
  <cp:lastPrinted>2015-06-22T13:36:53Z</cp:lastPrinted>
  <dcterms:created xsi:type="dcterms:W3CDTF">2015-06-17T14:29:09Z</dcterms:created>
  <dcterms:modified xsi:type="dcterms:W3CDTF">2016-03-08T15:47:42Z</dcterms:modified>
</cp:coreProperties>
</file>